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240" yWindow="525" windowWidth="28455" windowHeight="11700"/>
  </bookViews>
  <sheets>
    <sheet name="Смета" sheetId="1" r:id="rId1"/>
  </sheets>
  <definedNames>
    <definedName name="_xlnm.Print_Titles" localSheetId="0">Смета!$3:$3</definedName>
  </definedNames>
  <calcPr calcId="124519"/>
</workbook>
</file>

<file path=xl/calcChain.xml><?xml version="1.0" encoding="utf-8"?>
<calcChain xmlns="http://schemas.openxmlformats.org/spreadsheetml/2006/main">
  <c r="N457" i="1"/>
  <c r="N458"/>
  <c r="N459"/>
  <c r="N460"/>
  <c r="N461"/>
  <c r="N462"/>
  <c r="N463"/>
  <c r="N464"/>
  <c r="N465"/>
  <c r="N466"/>
  <c r="N467"/>
  <c r="N468"/>
  <c r="N456"/>
  <c r="N447"/>
  <c r="N448"/>
  <c r="N449"/>
  <c r="N450"/>
  <c r="N446"/>
  <c r="N442"/>
  <c r="N434"/>
  <c r="N431"/>
  <c r="N432"/>
  <c r="N433"/>
  <c r="N429"/>
  <c r="N430"/>
  <c r="N428"/>
  <c r="N427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02"/>
  <c r="N401"/>
  <c r="N399"/>
  <c r="N400"/>
  <c r="N398"/>
  <c r="N392"/>
  <c r="N388"/>
  <c r="N389"/>
  <c r="N390"/>
  <c r="N391"/>
  <c r="N387"/>
  <c r="N379"/>
  <c r="N380"/>
  <c r="N381"/>
  <c r="N382"/>
  <c r="N383"/>
  <c r="N384"/>
  <c r="N385"/>
  <c r="N386"/>
  <c r="N378"/>
  <c r="N373"/>
  <c r="N372"/>
  <c r="N370"/>
  <c r="N368"/>
  <c r="N367"/>
  <c r="N359"/>
  <c r="N357"/>
  <c r="N356"/>
  <c r="N348"/>
  <c r="N349"/>
  <c r="N350"/>
  <c r="N351"/>
  <c r="N352"/>
  <c r="N353"/>
  <c r="N354"/>
  <c r="N347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26"/>
  <c r="N316"/>
  <c r="N309"/>
  <c r="N303"/>
  <c r="N304"/>
  <c r="N302"/>
  <c r="N301"/>
  <c r="N298"/>
  <c r="N281"/>
  <c r="N282"/>
  <c r="N283"/>
  <c r="N284"/>
  <c r="N285"/>
  <c r="N286"/>
  <c r="N287"/>
  <c r="N288"/>
  <c r="N289"/>
  <c r="N290"/>
  <c r="N291"/>
  <c r="N280"/>
  <c r="N276"/>
  <c r="N277"/>
  <c r="N275"/>
  <c r="N269"/>
  <c r="N261"/>
  <c r="N262"/>
  <c r="N263"/>
  <c r="N264"/>
  <c r="N265"/>
  <c r="N260"/>
  <c r="N257"/>
  <c r="N256"/>
  <c r="N245"/>
  <c r="N246"/>
  <c r="N247"/>
  <c r="N248"/>
  <c r="N249"/>
  <c r="N250"/>
  <c r="N251"/>
  <c r="N252"/>
  <c r="N253"/>
  <c r="N254"/>
  <c r="N244"/>
  <c r="N238"/>
  <c r="N239"/>
  <c r="N237"/>
  <c r="N206"/>
  <c r="N207"/>
  <c r="N208"/>
  <c r="N209"/>
  <c r="N205"/>
  <c r="N177"/>
  <c r="N178"/>
  <c r="N179"/>
  <c r="N180"/>
  <c r="N181"/>
  <c r="N176"/>
  <c r="N153"/>
  <c r="N154"/>
  <c r="N155"/>
  <c r="N156"/>
  <c r="N157"/>
  <c r="N158"/>
  <c r="N159"/>
  <c r="N152"/>
  <c r="N142"/>
  <c r="N143"/>
  <c r="N141"/>
  <c r="N132"/>
  <c r="N133"/>
  <c r="N131"/>
  <c r="N116"/>
  <c r="N114"/>
  <c r="N102"/>
  <c r="N103"/>
  <c r="N104"/>
  <c r="N105"/>
  <c r="N106"/>
  <c r="N107"/>
  <c r="N108"/>
  <c r="N109"/>
  <c r="N101"/>
  <c r="N94"/>
  <c r="N93"/>
  <c r="N92"/>
  <c r="N91"/>
  <c r="N90"/>
  <c r="N88"/>
  <c r="N89"/>
  <c r="N87"/>
  <c r="N86"/>
  <c r="N85"/>
  <c r="N76"/>
  <c r="N77"/>
  <c r="N78"/>
  <c r="N75"/>
  <c r="N74"/>
  <c r="N73"/>
  <c r="N70"/>
  <c r="N69"/>
  <c r="M469"/>
  <c r="L469"/>
  <c r="K469"/>
  <c r="J469"/>
  <c r="I469"/>
  <c r="H469"/>
  <c r="O469" s="1"/>
  <c r="N469" s="1"/>
  <c r="M468"/>
  <c r="L468"/>
  <c r="K468"/>
  <c r="J468"/>
  <c r="I468"/>
  <c r="H468"/>
  <c r="O468" s="1"/>
  <c r="M467"/>
  <c r="L467"/>
  <c r="K467"/>
  <c r="J467"/>
  <c r="I467"/>
  <c r="H467"/>
  <c r="O467" s="1"/>
  <c r="M466"/>
  <c r="L466"/>
  <c r="K466"/>
  <c r="J466"/>
  <c r="I466"/>
  <c r="H466"/>
  <c r="O466" s="1"/>
  <c r="M465"/>
  <c r="L465"/>
  <c r="K465"/>
  <c r="J465"/>
  <c r="I465"/>
  <c r="H465"/>
  <c r="O465" s="1"/>
  <c r="M464"/>
  <c r="L464"/>
  <c r="K464"/>
  <c r="J464"/>
  <c r="I464"/>
  <c r="H464"/>
  <c r="O464" s="1"/>
  <c r="M463"/>
  <c r="L463"/>
  <c r="K463"/>
  <c r="J463"/>
  <c r="I463"/>
  <c r="H463"/>
  <c r="O463" s="1"/>
  <c r="M462"/>
  <c r="L462"/>
  <c r="K462"/>
  <c r="J462"/>
  <c r="I462"/>
  <c r="H462"/>
  <c r="O462" s="1"/>
  <c r="M461"/>
  <c r="L461"/>
  <c r="K461"/>
  <c r="J461"/>
  <c r="I461"/>
  <c r="H461"/>
  <c r="O461" s="1"/>
  <c r="M460"/>
  <c r="L460"/>
  <c r="K460"/>
  <c r="J460"/>
  <c r="I460"/>
  <c r="H460"/>
  <c r="O460" s="1"/>
  <c r="M459"/>
  <c r="L459"/>
  <c r="K459"/>
  <c r="J459"/>
  <c r="I459"/>
  <c r="H459"/>
  <c r="O459" s="1"/>
  <c r="M458"/>
  <c r="L458"/>
  <c r="K458"/>
  <c r="J458"/>
  <c r="I458"/>
  <c r="H458"/>
  <c r="O458" s="1"/>
  <c r="M457"/>
  <c r="L457"/>
  <c r="K457"/>
  <c r="J457"/>
  <c r="I457"/>
  <c r="H457"/>
  <c r="O457" s="1"/>
  <c r="M456"/>
  <c r="L456"/>
  <c r="K456"/>
  <c r="J456"/>
  <c r="I456"/>
  <c r="H456"/>
  <c r="O456" s="1"/>
  <c r="M455"/>
  <c r="L455"/>
  <c r="K455"/>
  <c r="J455"/>
  <c r="I455"/>
  <c r="H455"/>
  <c r="O455" s="1"/>
  <c r="N455" s="1"/>
  <c r="M454"/>
  <c r="L454"/>
  <c r="K454"/>
  <c r="J454"/>
  <c r="I454"/>
  <c r="H454"/>
  <c r="O454" s="1"/>
  <c r="N454" s="1"/>
  <c r="M453"/>
  <c r="L453"/>
  <c r="K453"/>
  <c r="J453"/>
  <c r="I453"/>
  <c r="H453"/>
  <c r="O453" s="1"/>
  <c r="N453" s="1"/>
  <c r="M452"/>
  <c r="L452"/>
  <c r="K452"/>
  <c r="J452"/>
  <c r="I452"/>
  <c r="H452"/>
  <c r="O452" s="1"/>
  <c r="N452" s="1"/>
  <c r="M451"/>
  <c r="L451"/>
  <c r="K451"/>
  <c r="J451"/>
  <c r="I451"/>
  <c r="H451"/>
  <c r="O451" s="1"/>
  <c r="N451" s="1"/>
  <c r="M450"/>
  <c r="L450"/>
  <c r="K450"/>
  <c r="J450"/>
  <c r="I450"/>
  <c r="H450"/>
  <c r="O450" s="1"/>
  <c r="M449"/>
  <c r="L449"/>
  <c r="K449"/>
  <c r="J449"/>
  <c r="I449"/>
  <c r="H449"/>
  <c r="O449" s="1"/>
  <c r="M448"/>
  <c r="L448"/>
  <c r="K448"/>
  <c r="J448"/>
  <c r="I448"/>
  <c r="H448"/>
  <c r="O448" s="1"/>
  <c r="M447"/>
  <c r="L447"/>
  <c r="K447"/>
  <c r="J447"/>
  <c r="I447"/>
  <c r="H447"/>
  <c r="O447" s="1"/>
  <c r="M446"/>
  <c r="L446"/>
  <c r="K446"/>
  <c r="J446"/>
  <c r="I446"/>
  <c r="H446"/>
  <c r="O446" s="1"/>
  <c r="M445"/>
  <c r="L445"/>
  <c r="K445"/>
  <c r="J445"/>
  <c r="I445"/>
  <c r="H445"/>
  <c r="O445" s="1"/>
  <c r="N445" s="1"/>
  <c r="M444"/>
  <c r="L444"/>
  <c r="K444"/>
  <c r="J444"/>
  <c r="I444"/>
  <c r="H444"/>
  <c r="O444" s="1"/>
  <c r="N444" s="1"/>
  <c r="M443"/>
  <c r="L443"/>
  <c r="K443"/>
  <c r="J443"/>
  <c r="I443"/>
  <c r="H443"/>
  <c r="O443" s="1"/>
  <c r="N443" s="1"/>
  <c r="M442"/>
  <c r="L442"/>
  <c r="K442"/>
  <c r="J442"/>
  <c r="I442"/>
  <c r="H442"/>
  <c r="O442" s="1"/>
  <c r="M441"/>
  <c r="L441"/>
  <c r="K441"/>
  <c r="J441"/>
  <c r="I441"/>
  <c r="H441"/>
  <c r="O441" s="1"/>
  <c r="N441" s="1"/>
  <c r="M440"/>
  <c r="L440"/>
  <c r="K440"/>
  <c r="J440"/>
  <c r="I440"/>
  <c r="H440"/>
  <c r="O440" s="1"/>
  <c r="N440" s="1"/>
  <c r="M439"/>
  <c r="L439"/>
  <c r="K439"/>
  <c r="J439"/>
  <c r="I439"/>
  <c r="H439"/>
  <c r="O439" s="1"/>
  <c r="N439" s="1"/>
  <c r="M438"/>
  <c r="L438"/>
  <c r="K438"/>
  <c r="J438"/>
  <c r="I438"/>
  <c r="H438"/>
  <c r="O438" s="1"/>
  <c r="N438" s="1"/>
  <c r="M437"/>
  <c r="L437"/>
  <c r="K437"/>
  <c r="J437"/>
  <c r="I437"/>
  <c r="H437"/>
  <c r="O437" s="1"/>
  <c r="N437" s="1"/>
  <c r="M436"/>
  <c r="L436"/>
  <c r="K436"/>
  <c r="J436"/>
  <c r="I436"/>
  <c r="H436"/>
  <c r="O436" s="1"/>
  <c r="N436" s="1"/>
  <c r="M435"/>
  <c r="L435"/>
  <c r="K435"/>
  <c r="J435"/>
  <c r="I435"/>
  <c r="H435"/>
  <c r="O435" s="1"/>
  <c r="N435" s="1"/>
  <c r="M434"/>
  <c r="L434"/>
  <c r="K434"/>
  <c r="J434"/>
  <c r="I434"/>
  <c r="H434"/>
  <c r="O434" s="1"/>
  <c r="M433"/>
  <c r="L433"/>
  <c r="K433"/>
  <c r="J433"/>
  <c r="I433"/>
  <c r="H433"/>
  <c r="O433" s="1"/>
  <c r="M432"/>
  <c r="L432"/>
  <c r="K432"/>
  <c r="J432"/>
  <c r="I432"/>
  <c r="H432"/>
  <c r="O432" s="1"/>
  <c r="M431"/>
  <c r="L431"/>
  <c r="K431"/>
  <c r="J431"/>
  <c r="I431"/>
  <c r="H431"/>
  <c r="O431" s="1"/>
  <c r="M430"/>
  <c r="L430"/>
  <c r="K430"/>
  <c r="J430"/>
  <c r="I430"/>
  <c r="H430"/>
  <c r="O430" s="1"/>
  <c r="M429"/>
  <c r="L429"/>
  <c r="K429"/>
  <c r="J429"/>
  <c r="I429"/>
  <c r="H429"/>
  <c r="O429" s="1"/>
  <c r="M428"/>
  <c r="L428"/>
  <c r="K428"/>
  <c r="J428"/>
  <c r="I428"/>
  <c r="H428"/>
  <c r="O428" s="1"/>
  <c r="M427"/>
  <c r="L427"/>
  <c r="K427"/>
  <c r="J427"/>
  <c r="I427"/>
  <c r="H427"/>
  <c r="O427" s="1"/>
  <c r="M426"/>
  <c r="L426"/>
  <c r="K426"/>
  <c r="J426"/>
  <c r="I426"/>
  <c r="H426"/>
  <c r="O426" s="1"/>
  <c r="N426" s="1"/>
  <c r="M425"/>
  <c r="L425"/>
  <c r="K425"/>
  <c r="J425"/>
  <c r="I425"/>
  <c r="H425"/>
  <c r="O425" s="1"/>
  <c r="M424"/>
  <c r="L424"/>
  <c r="K424"/>
  <c r="J424"/>
  <c r="I424"/>
  <c r="H424"/>
  <c r="O424" s="1"/>
  <c r="M423"/>
  <c r="L423"/>
  <c r="K423"/>
  <c r="J423"/>
  <c r="I423"/>
  <c r="H423"/>
  <c r="O423" s="1"/>
  <c r="M422"/>
  <c r="L422"/>
  <c r="K422"/>
  <c r="J422"/>
  <c r="I422"/>
  <c r="H422"/>
  <c r="O422" s="1"/>
  <c r="M421"/>
  <c r="L421"/>
  <c r="K421"/>
  <c r="J421"/>
  <c r="I421"/>
  <c r="H421"/>
  <c r="O421" s="1"/>
  <c r="M420"/>
  <c r="L420"/>
  <c r="K420"/>
  <c r="J420"/>
  <c r="I420"/>
  <c r="H420"/>
  <c r="O420" s="1"/>
  <c r="M419"/>
  <c r="L419"/>
  <c r="K419"/>
  <c r="J419"/>
  <c r="I419"/>
  <c r="H419"/>
  <c r="O419" s="1"/>
  <c r="M418"/>
  <c r="L418"/>
  <c r="K418"/>
  <c r="J418"/>
  <c r="I418"/>
  <c r="H418"/>
  <c r="O418" s="1"/>
  <c r="M417"/>
  <c r="L417"/>
  <c r="K417"/>
  <c r="J417"/>
  <c r="I417"/>
  <c r="H417"/>
  <c r="O417" s="1"/>
  <c r="M416"/>
  <c r="L416"/>
  <c r="K416"/>
  <c r="J416"/>
  <c r="I416"/>
  <c r="H416"/>
  <c r="O416" s="1"/>
  <c r="M415"/>
  <c r="L415"/>
  <c r="K415"/>
  <c r="J415"/>
  <c r="I415"/>
  <c r="H415"/>
  <c r="O415" s="1"/>
  <c r="M414"/>
  <c r="L414"/>
  <c r="K414"/>
  <c r="J414"/>
  <c r="I414"/>
  <c r="H414"/>
  <c r="O414" s="1"/>
  <c r="M413"/>
  <c r="L413"/>
  <c r="K413"/>
  <c r="J413"/>
  <c r="I413"/>
  <c r="H413"/>
  <c r="O413" s="1"/>
  <c r="M412"/>
  <c r="L412"/>
  <c r="K412"/>
  <c r="J412"/>
  <c r="I412"/>
  <c r="H412"/>
  <c r="O412" s="1"/>
  <c r="M411"/>
  <c r="L411"/>
  <c r="K411"/>
  <c r="J411"/>
  <c r="I411"/>
  <c r="H411"/>
  <c r="O411" s="1"/>
  <c r="M410"/>
  <c r="L410"/>
  <c r="K410"/>
  <c r="J410"/>
  <c r="I410"/>
  <c r="H410"/>
  <c r="O410" s="1"/>
  <c r="M409"/>
  <c r="L409"/>
  <c r="K409"/>
  <c r="J409"/>
  <c r="I409"/>
  <c r="H409"/>
  <c r="O409" s="1"/>
  <c r="M408"/>
  <c r="L408"/>
  <c r="K408"/>
  <c r="J408"/>
  <c r="I408"/>
  <c r="H408"/>
  <c r="O408" s="1"/>
  <c r="M407"/>
  <c r="L407"/>
  <c r="K407"/>
  <c r="J407"/>
  <c r="I407"/>
  <c r="H407"/>
  <c r="O407" s="1"/>
  <c r="M406"/>
  <c r="L406"/>
  <c r="K406"/>
  <c r="J406"/>
  <c r="I406"/>
  <c r="H406"/>
  <c r="O406" s="1"/>
  <c r="M405"/>
  <c r="L405"/>
  <c r="K405"/>
  <c r="J405"/>
  <c r="I405"/>
  <c r="H405"/>
  <c r="O405" s="1"/>
  <c r="M404"/>
  <c r="L404"/>
  <c r="K404"/>
  <c r="J404"/>
  <c r="I404"/>
  <c r="H404"/>
  <c r="O404" s="1"/>
  <c r="M403"/>
  <c r="L403"/>
  <c r="K403"/>
  <c r="J403"/>
  <c r="I403"/>
  <c r="H403"/>
  <c r="O403" s="1"/>
  <c r="M402"/>
  <c r="L402"/>
  <c r="K402"/>
  <c r="J402"/>
  <c r="I402"/>
  <c r="H402"/>
  <c r="O402" s="1"/>
  <c r="M401"/>
  <c r="L401"/>
  <c r="K401"/>
  <c r="J401"/>
  <c r="I401"/>
  <c r="H401"/>
  <c r="O401" s="1"/>
  <c r="M400"/>
  <c r="L400"/>
  <c r="K400"/>
  <c r="J400"/>
  <c r="I400"/>
  <c r="H400"/>
  <c r="O400" s="1"/>
  <c r="M399"/>
  <c r="L399"/>
  <c r="K399"/>
  <c r="J399"/>
  <c r="I399"/>
  <c r="H399"/>
  <c r="O399" s="1"/>
  <c r="M398"/>
  <c r="L398"/>
  <c r="K398"/>
  <c r="J398"/>
  <c r="I398"/>
  <c r="H398"/>
  <c r="O398" s="1"/>
  <c r="M397"/>
  <c r="L397"/>
  <c r="K397"/>
  <c r="J397"/>
  <c r="I397"/>
  <c r="H397"/>
  <c r="O397" s="1"/>
  <c r="N397" s="1"/>
  <c r="M396"/>
  <c r="L396"/>
  <c r="K396"/>
  <c r="J396"/>
  <c r="I396"/>
  <c r="H396"/>
  <c r="O396" s="1"/>
  <c r="N396" s="1"/>
  <c r="M395"/>
  <c r="L395"/>
  <c r="K395"/>
  <c r="J395"/>
  <c r="I395"/>
  <c r="H395"/>
  <c r="O395" s="1"/>
  <c r="N395" s="1"/>
  <c r="M394"/>
  <c r="L394"/>
  <c r="K394"/>
  <c r="J394"/>
  <c r="I394"/>
  <c r="H394"/>
  <c r="O394" s="1"/>
  <c r="N394" s="1"/>
  <c r="M393"/>
  <c r="L393"/>
  <c r="K393"/>
  <c r="J393"/>
  <c r="I393"/>
  <c r="H393"/>
  <c r="O393" s="1"/>
  <c r="N393" s="1"/>
  <c r="M392"/>
  <c r="L392"/>
  <c r="K392"/>
  <c r="J392"/>
  <c r="I392"/>
  <c r="H392"/>
  <c r="O392" s="1"/>
  <c r="M391"/>
  <c r="L391"/>
  <c r="K391"/>
  <c r="J391"/>
  <c r="I391"/>
  <c r="H391"/>
  <c r="O391" s="1"/>
  <c r="M390"/>
  <c r="L390"/>
  <c r="K390"/>
  <c r="J390"/>
  <c r="I390"/>
  <c r="H390"/>
  <c r="O390" s="1"/>
  <c r="M389"/>
  <c r="L389"/>
  <c r="K389"/>
  <c r="J389"/>
  <c r="I389"/>
  <c r="H389"/>
  <c r="O389" s="1"/>
  <c r="M388"/>
  <c r="L388"/>
  <c r="K388"/>
  <c r="J388"/>
  <c r="I388"/>
  <c r="H388"/>
  <c r="O388" s="1"/>
  <c r="M387"/>
  <c r="L387"/>
  <c r="K387"/>
  <c r="J387"/>
  <c r="I387"/>
  <c r="H387"/>
  <c r="O387" s="1"/>
  <c r="M386"/>
  <c r="L386"/>
  <c r="K386"/>
  <c r="J386"/>
  <c r="I386"/>
  <c r="H386"/>
  <c r="O386" s="1"/>
  <c r="M385"/>
  <c r="L385"/>
  <c r="K385"/>
  <c r="J385"/>
  <c r="I385"/>
  <c r="H385"/>
  <c r="O385" s="1"/>
  <c r="M384"/>
  <c r="L384"/>
  <c r="K384"/>
  <c r="J384"/>
  <c r="I384"/>
  <c r="H384"/>
  <c r="O384" s="1"/>
  <c r="M383"/>
  <c r="L383"/>
  <c r="K383"/>
  <c r="J383"/>
  <c r="I383"/>
  <c r="H383"/>
  <c r="O383" s="1"/>
  <c r="M382"/>
  <c r="L382"/>
  <c r="K382"/>
  <c r="J382"/>
  <c r="I382"/>
  <c r="H382"/>
  <c r="O382" s="1"/>
  <c r="M381"/>
  <c r="L381"/>
  <c r="K381"/>
  <c r="J381"/>
  <c r="I381"/>
  <c r="H381"/>
  <c r="O381" s="1"/>
  <c r="M380"/>
  <c r="L380"/>
  <c r="K380"/>
  <c r="J380"/>
  <c r="I380"/>
  <c r="H380"/>
  <c r="O380" s="1"/>
  <c r="M379"/>
  <c r="L379"/>
  <c r="K379"/>
  <c r="J379"/>
  <c r="I379"/>
  <c r="H379"/>
  <c r="O379" s="1"/>
  <c r="M378"/>
  <c r="L378"/>
  <c r="K378"/>
  <c r="J378"/>
  <c r="I378"/>
  <c r="H378"/>
  <c r="O378" s="1"/>
  <c r="M377"/>
  <c r="L377"/>
  <c r="K377"/>
  <c r="J377"/>
  <c r="I377"/>
  <c r="H377"/>
  <c r="O377" s="1"/>
  <c r="N377" s="1"/>
  <c r="M376"/>
  <c r="L376"/>
  <c r="K376"/>
  <c r="J376"/>
  <c r="I376"/>
  <c r="H376"/>
  <c r="O376" s="1"/>
  <c r="N376" s="1"/>
  <c r="M375"/>
  <c r="L375"/>
  <c r="K375"/>
  <c r="J375"/>
  <c r="I375"/>
  <c r="H375"/>
  <c r="O375" s="1"/>
  <c r="N375" s="1"/>
  <c r="M374"/>
  <c r="L374"/>
  <c r="K374"/>
  <c r="J374"/>
  <c r="I374"/>
  <c r="H374"/>
  <c r="O374" s="1"/>
  <c r="N374" s="1"/>
  <c r="M373"/>
  <c r="L373"/>
  <c r="K373"/>
  <c r="J373"/>
  <c r="I373"/>
  <c r="H373"/>
  <c r="O373" s="1"/>
  <c r="M372"/>
  <c r="L372"/>
  <c r="K372"/>
  <c r="J372"/>
  <c r="I372"/>
  <c r="H372"/>
  <c r="O372" s="1"/>
  <c r="M371"/>
  <c r="L371"/>
  <c r="K371"/>
  <c r="J371"/>
  <c r="I371"/>
  <c r="H371"/>
  <c r="O371" s="1"/>
  <c r="N371" s="1"/>
  <c r="M370"/>
  <c r="L370"/>
  <c r="K370"/>
  <c r="J370"/>
  <c r="I370"/>
  <c r="H370"/>
  <c r="O370" s="1"/>
  <c r="M369"/>
  <c r="L369"/>
  <c r="K369"/>
  <c r="J369"/>
  <c r="I369"/>
  <c r="H369"/>
  <c r="O369" s="1"/>
  <c r="N369" s="1"/>
  <c r="M368"/>
  <c r="L368"/>
  <c r="K368"/>
  <c r="J368"/>
  <c r="I368"/>
  <c r="H368"/>
  <c r="O368" s="1"/>
  <c r="M367"/>
  <c r="L367"/>
  <c r="K367"/>
  <c r="J367"/>
  <c r="I367"/>
  <c r="H367"/>
  <c r="O367" s="1"/>
  <c r="M366"/>
  <c r="L366"/>
  <c r="K366"/>
  <c r="J366"/>
  <c r="I366"/>
  <c r="H366"/>
  <c r="O366" s="1"/>
  <c r="N366" s="1"/>
  <c r="M365"/>
  <c r="L365"/>
  <c r="K365"/>
  <c r="J365"/>
  <c r="I365"/>
  <c r="H365"/>
  <c r="O365" s="1"/>
  <c r="N365" s="1"/>
  <c r="M364"/>
  <c r="L364"/>
  <c r="K364"/>
  <c r="J364"/>
  <c r="I364"/>
  <c r="H364"/>
  <c r="O364" s="1"/>
  <c r="N364" s="1"/>
  <c r="M363"/>
  <c r="L363"/>
  <c r="K363"/>
  <c r="J363"/>
  <c r="I363"/>
  <c r="H363"/>
  <c r="O363" s="1"/>
  <c r="N363" s="1"/>
  <c r="M362"/>
  <c r="L362"/>
  <c r="K362"/>
  <c r="J362"/>
  <c r="I362"/>
  <c r="H362"/>
  <c r="O362" s="1"/>
  <c r="N362" s="1"/>
  <c r="M361"/>
  <c r="L361"/>
  <c r="K361"/>
  <c r="J361"/>
  <c r="I361"/>
  <c r="H361"/>
  <c r="O361" s="1"/>
  <c r="N361" s="1"/>
  <c r="M360"/>
  <c r="L360"/>
  <c r="K360"/>
  <c r="J360"/>
  <c r="I360"/>
  <c r="H360"/>
  <c r="O360" s="1"/>
  <c r="N360" s="1"/>
  <c r="M359"/>
  <c r="L359"/>
  <c r="K359"/>
  <c r="J359"/>
  <c r="I359"/>
  <c r="H359"/>
  <c r="O359" s="1"/>
  <c r="M358"/>
  <c r="L358"/>
  <c r="K358"/>
  <c r="J358"/>
  <c r="I358"/>
  <c r="H358"/>
  <c r="O358" s="1"/>
  <c r="N358" s="1"/>
  <c r="M357"/>
  <c r="L357"/>
  <c r="K357"/>
  <c r="J357"/>
  <c r="I357"/>
  <c r="H357"/>
  <c r="O357" s="1"/>
  <c r="M356"/>
  <c r="L356"/>
  <c r="K356"/>
  <c r="J356"/>
  <c r="I356"/>
  <c r="H356"/>
  <c r="O356" s="1"/>
  <c r="M355"/>
  <c r="L355"/>
  <c r="K355"/>
  <c r="J355"/>
  <c r="I355"/>
  <c r="H355"/>
  <c r="O355" s="1"/>
  <c r="N355" s="1"/>
  <c r="M354"/>
  <c r="L354"/>
  <c r="K354"/>
  <c r="J354"/>
  <c r="I354"/>
  <c r="H354"/>
  <c r="O354" s="1"/>
  <c r="M353"/>
  <c r="L353"/>
  <c r="K353"/>
  <c r="J353"/>
  <c r="I353"/>
  <c r="H353"/>
  <c r="O353" s="1"/>
  <c r="M352"/>
  <c r="L352"/>
  <c r="K352"/>
  <c r="J352"/>
  <c r="I352"/>
  <c r="H352"/>
  <c r="O352" s="1"/>
  <c r="M351"/>
  <c r="L351"/>
  <c r="K351"/>
  <c r="J351"/>
  <c r="I351"/>
  <c r="H351"/>
  <c r="O351" s="1"/>
  <c r="M350"/>
  <c r="L350"/>
  <c r="K350"/>
  <c r="J350"/>
  <c r="I350"/>
  <c r="H350"/>
  <c r="O350" s="1"/>
  <c r="M349"/>
  <c r="L349"/>
  <c r="K349"/>
  <c r="J349"/>
  <c r="I349"/>
  <c r="H349"/>
  <c r="O349" s="1"/>
  <c r="M348"/>
  <c r="L348"/>
  <c r="K348"/>
  <c r="J348"/>
  <c r="I348"/>
  <c r="H348"/>
  <c r="O348" s="1"/>
  <c r="M347"/>
  <c r="L347"/>
  <c r="K347"/>
  <c r="J347"/>
  <c r="I347"/>
  <c r="H347"/>
  <c r="O347" s="1"/>
  <c r="M346"/>
  <c r="L346"/>
  <c r="K346"/>
  <c r="J346"/>
  <c r="I346"/>
  <c r="H346"/>
  <c r="O346" s="1"/>
  <c r="M345"/>
  <c r="L345"/>
  <c r="K345"/>
  <c r="J345"/>
  <c r="I345"/>
  <c r="H345"/>
  <c r="O345" s="1"/>
  <c r="M344"/>
  <c r="L344"/>
  <c r="K344"/>
  <c r="J344"/>
  <c r="I344"/>
  <c r="H344"/>
  <c r="O344" s="1"/>
  <c r="M343"/>
  <c r="L343"/>
  <c r="K343"/>
  <c r="J343"/>
  <c r="I343"/>
  <c r="H343"/>
  <c r="O343" s="1"/>
  <c r="M342"/>
  <c r="L342"/>
  <c r="K342"/>
  <c r="J342"/>
  <c r="I342"/>
  <c r="H342"/>
  <c r="O342" s="1"/>
  <c r="M341"/>
  <c r="L341"/>
  <c r="K341"/>
  <c r="J341"/>
  <c r="I341"/>
  <c r="H341"/>
  <c r="O341" s="1"/>
  <c r="M340"/>
  <c r="L340"/>
  <c r="K340"/>
  <c r="J340"/>
  <c r="I340"/>
  <c r="H340"/>
  <c r="O340" s="1"/>
  <c r="M339"/>
  <c r="L339"/>
  <c r="K339"/>
  <c r="J339"/>
  <c r="I339"/>
  <c r="H339"/>
  <c r="O339" s="1"/>
  <c r="M338"/>
  <c r="L338"/>
  <c r="K338"/>
  <c r="J338"/>
  <c r="I338"/>
  <c r="H338"/>
  <c r="O338" s="1"/>
  <c r="M337"/>
  <c r="L337"/>
  <c r="K337"/>
  <c r="J337"/>
  <c r="I337"/>
  <c r="H337"/>
  <c r="O337" s="1"/>
  <c r="M336"/>
  <c r="L336"/>
  <c r="K336"/>
  <c r="J336"/>
  <c r="I336"/>
  <c r="H336"/>
  <c r="O336" s="1"/>
  <c r="M335"/>
  <c r="L335"/>
  <c r="K335"/>
  <c r="J335"/>
  <c r="I335"/>
  <c r="H335"/>
  <c r="O335" s="1"/>
  <c r="M334"/>
  <c r="L334"/>
  <c r="K334"/>
  <c r="J334"/>
  <c r="I334"/>
  <c r="H334"/>
  <c r="O334" s="1"/>
  <c r="M333"/>
  <c r="L333"/>
  <c r="K333"/>
  <c r="J333"/>
  <c r="I333"/>
  <c r="H333"/>
  <c r="O333" s="1"/>
  <c r="M332"/>
  <c r="L332"/>
  <c r="K332"/>
  <c r="J332"/>
  <c r="I332"/>
  <c r="H332"/>
  <c r="O332" s="1"/>
  <c r="M331"/>
  <c r="L331"/>
  <c r="K331"/>
  <c r="J331"/>
  <c r="I331"/>
  <c r="H331"/>
  <c r="O331" s="1"/>
  <c r="M330"/>
  <c r="L330"/>
  <c r="K330"/>
  <c r="J330"/>
  <c r="I330"/>
  <c r="H330"/>
  <c r="O330" s="1"/>
  <c r="M329"/>
  <c r="L329"/>
  <c r="K329"/>
  <c r="J329"/>
  <c r="I329"/>
  <c r="H329"/>
  <c r="O329" s="1"/>
  <c r="M328"/>
  <c r="L328"/>
  <c r="K328"/>
  <c r="J328"/>
  <c r="I328"/>
  <c r="H328"/>
  <c r="O328" s="1"/>
  <c r="M327"/>
  <c r="L327"/>
  <c r="K327"/>
  <c r="J327"/>
  <c r="I327"/>
  <c r="H327"/>
  <c r="O327" s="1"/>
  <c r="M326"/>
  <c r="L326"/>
  <c r="K326"/>
  <c r="J326"/>
  <c r="I326"/>
  <c r="H326"/>
  <c r="O326" s="1"/>
  <c r="M325"/>
  <c r="L325"/>
  <c r="K325"/>
  <c r="J325"/>
  <c r="I325"/>
  <c r="H325"/>
  <c r="O325" s="1"/>
  <c r="N325" s="1"/>
  <c r="M324"/>
  <c r="L324"/>
  <c r="K324"/>
  <c r="J324"/>
  <c r="I324"/>
  <c r="H324"/>
  <c r="O324" s="1"/>
  <c r="N324" s="1"/>
  <c r="M323"/>
  <c r="L323"/>
  <c r="K323"/>
  <c r="J323"/>
  <c r="I323"/>
  <c r="H323"/>
  <c r="O323" s="1"/>
  <c r="N323" s="1"/>
  <c r="M322"/>
  <c r="L322"/>
  <c r="K322"/>
  <c r="J322"/>
  <c r="I322"/>
  <c r="H322"/>
  <c r="O322" s="1"/>
  <c r="N322" s="1"/>
  <c r="M321"/>
  <c r="L321"/>
  <c r="K321"/>
  <c r="J321"/>
  <c r="I321"/>
  <c r="H321"/>
  <c r="O321" s="1"/>
  <c r="N321" s="1"/>
  <c r="M320"/>
  <c r="L320"/>
  <c r="K320"/>
  <c r="J320"/>
  <c r="I320"/>
  <c r="H320"/>
  <c r="O320" s="1"/>
  <c r="N320" s="1"/>
  <c r="M319"/>
  <c r="L319"/>
  <c r="K319"/>
  <c r="J319"/>
  <c r="I319"/>
  <c r="H319"/>
  <c r="O319" s="1"/>
  <c r="N319" s="1"/>
  <c r="M318"/>
  <c r="L318"/>
  <c r="K318"/>
  <c r="J318"/>
  <c r="I318"/>
  <c r="H318"/>
  <c r="O318" s="1"/>
  <c r="N318" s="1"/>
  <c r="M317"/>
  <c r="L317"/>
  <c r="K317"/>
  <c r="J317"/>
  <c r="I317"/>
  <c r="H317"/>
  <c r="O317" s="1"/>
  <c r="N317" s="1"/>
  <c r="M316"/>
  <c r="L316"/>
  <c r="K316"/>
  <c r="J316"/>
  <c r="I316"/>
  <c r="H316"/>
  <c r="O316" s="1"/>
  <c r="M315"/>
  <c r="L315"/>
  <c r="K315"/>
  <c r="J315"/>
  <c r="I315"/>
  <c r="H315"/>
  <c r="O315" s="1"/>
  <c r="N315" s="1"/>
  <c r="M314"/>
  <c r="L314"/>
  <c r="K314"/>
  <c r="J314"/>
  <c r="I314"/>
  <c r="H314"/>
  <c r="O314" s="1"/>
  <c r="N314" s="1"/>
  <c r="M313"/>
  <c r="L313"/>
  <c r="K313"/>
  <c r="J313"/>
  <c r="I313"/>
  <c r="H313"/>
  <c r="M312"/>
  <c r="L312"/>
  <c r="K312"/>
  <c r="J312"/>
  <c r="I312"/>
  <c r="H312"/>
  <c r="O312" s="1"/>
  <c r="N312" s="1"/>
  <c r="M311"/>
  <c r="L311"/>
  <c r="K311"/>
  <c r="J311"/>
  <c r="I311"/>
  <c r="H311"/>
  <c r="O311" s="1"/>
  <c r="N311" s="1"/>
  <c r="M310"/>
  <c r="L310"/>
  <c r="K310"/>
  <c r="J310"/>
  <c r="I310"/>
  <c r="H310"/>
  <c r="O310" s="1"/>
  <c r="N310" s="1"/>
  <c r="M309"/>
  <c r="L309"/>
  <c r="K309"/>
  <c r="J309"/>
  <c r="I309"/>
  <c r="H309"/>
  <c r="M308"/>
  <c r="L308"/>
  <c r="K308"/>
  <c r="J308"/>
  <c r="I308"/>
  <c r="H308"/>
  <c r="O308" s="1"/>
  <c r="N308" s="1"/>
  <c r="M307"/>
  <c r="L307"/>
  <c r="K307"/>
  <c r="J307"/>
  <c r="I307"/>
  <c r="H307"/>
  <c r="O307" s="1"/>
  <c r="N307" s="1"/>
  <c r="M306"/>
  <c r="L306"/>
  <c r="K306"/>
  <c r="J306"/>
  <c r="I306"/>
  <c r="H306"/>
  <c r="O306" s="1"/>
  <c r="N306" s="1"/>
  <c r="M305"/>
  <c r="L305"/>
  <c r="K305"/>
  <c r="J305"/>
  <c r="I305"/>
  <c r="H305"/>
  <c r="M304"/>
  <c r="L304"/>
  <c r="K304"/>
  <c r="J304"/>
  <c r="I304"/>
  <c r="H304"/>
  <c r="O304" s="1"/>
  <c r="M303"/>
  <c r="L303"/>
  <c r="K303"/>
  <c r="J303"/>
  <c r="I303"/>
  <c r="H303"/>
  <c r="O303" s="1"/>
  <c r="M302"/>
  <c r="L302"/>
  <c r="K302"/>
  <c r="J302"/>
  <c r="I302"/>
  <c r="H302"/>
  <c r="O302" s="1"/>
  <c r="M301"/>
  <c r="L301"/>
  <c r="K301"/>
  <c r="J301"/>
  <c r="I301"/>
  <c r="H301"/>
  <c r="M300"/>
  <c r="L300"/>
  <c r="K300"/>
  <c r="J300"/>
  <c r="I300"/>
  <c r="H300"/>
  <c r="O300" s="1"/>
  <c r="N300" s="1"/>
  <c r="M299"/>
  <c r="L299"/>
  <c r="K299"/>
  <c r="J299"/>
  <c r="I299"/>
  <c r="H299"/>
  <c r="O299" s="1"/>
  <c r="N299" s="1"/>
  <c r="M298"/>
  <c r="L298"/>
  <c r="K298"/>
  <c r="J298"/>
  <c r="I298"/>
  <c r="H298"/>
  <c r="O298" s="1"/>
  <c r="M297"/>
  <c r="L297"/>
  <c r="K297"/>
  <c r="J297"/>
  <c r="I297"/>
  <c r="H297"/>
  <c r="M296"/>
  <c r="L296"/>
  <c r="K296"/>
  <c r="J296"/>
  <c r="I296"/>
  <c r="H296"/>
  <c r="O296" s="1"/>
  <c r="N296" s="1"/>
  <c r="M295"/>
  <c r="L295"/>
  <c r="K295"/>
  <c r="J295"/>
  <c r="I295"/>
  <c r="H295"/>
  <c r="O295" s="1"/>
  <c r="N295" s="1"/>
  <c r="M294"/>
  <c r="L294"/>
  <c r="K294"/>
  <c r="J294"/>
  <c r="I294"/>
  <c r="H294"/>
  <c r="O294" s="1"/>
  <c r="N294" s="1"/>
  <c r="M293"/>
  <c r="L293"/>
  <c r="K293"/>
  <c r="J293"/>
  <c r="I293"/>
  <c r="H293"/>
  <c r="M292"/>
  <c r="L292"/>
  <c r="K292"/>
  <c r="J292"/>
  <c r="I292"/>
  <c r="H292"/>
  <c r="O292" s="1"/>
  <c r="N292" s="1"/>
  <c r="M291"/>
  <c r="L291"/>
  <c r="K291"/>
  <c r="J291"/>
  <c r="I291"/>
  <c r="H291"/>
  <c r="O291" s="1"/>
  <c r="M290"/>
  <c r="L290"/>
  <c r="K290"/>
  <c r="J290"/>
  <c r="I290"/>
  <c r="H290"/>
  <c r="O290" s="1"/>
  <c r="M289"/>
  <c r="L289"/>
  <c r="K289"/>
  <c r="J289"/>
  <c r="I289"/>
  <c r="H289"/>
  <c r="M288"/>
  <c r="L288"/>
  <c r="K288"/>
  <c r="J288"/>
  <c r="I288"/>
  <c r="H288"/>
  <c r="O288" s="1"/>
  <c r="M287"/>
  <c r="L287"/>
  <c r="K287"/>
  <c r="J287"/>
  <c r="I287"/>
  <c r="H287"/>
  <c r="O287" s="1"/>
  <c r="M286"/>
  <c r="L286"/>
  <c r="K286"/>
  <c r="J286"/>
  <c r="I286"/>
  <c r="H286"/>
  <c r="O286" s="1"/>
  <c r="M285"/>
  <c r="L285"/>
  <c r="K285"/>
  <c r="J285"/>
  <c r="I285"/>
  <c r="H285"/>
  <c r="M284"/>
  <c r="L284"/>
  <c r="K284"/>
  <c r="J284"/>
  <c r="I284"/>
  <c r="H284"/>
  <c r="O284" s="1"/>
  <c r="M283"/>
  <c r="L283"/>
  <c r="K283"/>
  <c r="J283"/>
  <c r="I283"/>
  <c r="H283"/>
  <c r="O283" s="1"/>
  <c r="M282"/>
  <c r="L282"/>
  <c r="K282"/>
  <c r="J282"/>
  <c r="I282"/>
  <c r="H282"/>
  <c r="O282" s="1"/>
  <c r="M281"/>
  <c r="L281"/>
  <c r="K281"/>
  <c r="J281"/>
  <c r="I281"/>
  <c r="H281"/>
  <c r="M280"/>
  <c r="L280"/>
  <c r="K280"/>
  <c r="J280"/>
  <c r="I280"/>
  <c r="H280"/>
  <c r="O280" s="1"/>
  <c r="M279"/>
  <c r="L279"/>
  <c r="K279"/>
  <c r="J279"/>
  <c r="I279"/>
  <c r="H279"/>
  <c r="O279" s="1"/>
  <c r="N279" s="1"/>
  <c r="M278"/>
  <c r="L278"/>
  <c r="K278"/>
  <c r="J278"/>
  <c r="I278"/>
  <c r="H278"/>
  <c r="O278" s="1"/>
  <c r="N278" s="1"/>
  <c r="M277"/>
  <c r="L277"/>
  <c r="K277"/>
  <c r="J277"/>
  <c r="I277"/>
  <c r="H277"/>
  <c r="M276"/>
  <c r="L276"/>
  <c r="K276"/>
  <c r="J276"/>
  <c r="I276"/>
  <c r="H276"/>
  <c r="O276" s="1"/>
  <c r="M275"/>
  <c r="L275"/>
  <c r="K275"/>
  <c r="J275"/>
  <c r="I275"/>
  <c r="H275"/>
  <c r="O275" s="1"/>
  <c r="M274"/>
  <c r="L274"/>
  <c r="K274"/>
  <c r="J274"/>
  <c r="I274"/>
  <c r="H274"/>
  <c r="O274" s="1"/>
  <c r="N274" s="1"/>
  <c r="M273"/>
  <c r="L273"/>
  <c r="K273"/>
  <c r="J273"/>
  <c r="I273"/>
  <c r="H273"/>
  <c r="M272"/>
  <c r="L272"/>
  <c r="K272"/>
  <c r="J272"/>
  <c r="I272"/>
  <c r="H272"/>
  <c r="O272" s="1"/>
  <c r="N272" s="1"/>
  <c r="M271"/>
  <c r="L271"/>
  <c r="K271"/>
  <c r="J271"/>
  <c r="I271"/>
  <c r="H271"/>
  <c r="O271" s="1"/>
  <c r="N271" s="1"/>
  <c r="M270"/>
  <c r="L270"/>
  <c r="K270"/>
  <c r="J270"/>
  <c r="I270"/>
  <c r="H270"/>
  <c r="O270" s="1"/>
  <c r="N270" s="1"/>
  <c r="M269"/>
  <c r="L269"/>
  <c r="K269"/>
  <c r="J269"/>
  <c r="I269"/>
  <c r="H269"/>
  <c r="M268"/>
  <c r="L268"/>
  <c r="K268"/>
  <c r="J268"/>
  <c r="I268"/>
  <c r="H268"/>
  <c r="O268" s="1"/>
  <c r="N268" s="1"/>
  <c r="M267"/>
  <c r="L267"/>
  <c r="K267"/>
  <c r="J267"/>
  <c r="I267"/>
  <c r="H267"/>
  <c r="O267" s="1"/>
  <c r="N267" s="1"/>
  <c r="M266"/>
  <c r="L266"/>
  <c r="K266"/>
  <c r="J266"/>
  <c r="I266"/>
  <c r="H266"/>
  <c r="O266" s="1"/>
  <c r="N266" s="1"/>
  <c r="M265"/>
  <c r="L265"/>
  <c r="K265"/>
  <c r="J265"/>
  <c r="I265"/>
  <c r="H265"/>
  <c r="M264"/>
  <c r="L264"/>
  <c r="K264"/>
  <c r="J264"/>
  <c r="I264"/>
  <c r="H264"/>
  <c r="O264" s="1"/>
  <c r="M263"/>
  <c r="L263"/>
  <c r="K263"/>
  <c r="J263"/>
  <c r="I263"/>
  <c r="H263"/>
  <c r="O263" s="1"/>
  <c r="M262"/>
  <c r="L262"/>
  <c r="K262"/>
  <c r="J262"/>
  <c r="I262"/>
  <c r="H262"/>
  <c r="O262" s="1"/>
  <c r="M261"/>
  <c r="L261"/>
  <c r="K261"/>
  <c r="J261"/>
  <c r="I261"/>
  <c r="H261"/>
  <c r="M260"/>
  <c r="L260"/>
  <c r="K260"/>
  <c r="J260"/>
  <c r="I260"/>
  <c r="H260"/>
  <c r="O260" s="1"/>
  <c r="M259"/>
  <c r="L259"/>
  <c r="K259"/>
  <c r="J259"/>
  <c r="I259"/>
  <c r="H259"/>
  <c r="O259" s="1"/>
  <c r="N259" s="1"/>
  <c r="M258"/>
  <c r="L258"/>
  <c r="K258"/>
  <c r="J258"/>
  <c r="I258"/>
  <c r="H258"/>
  <c r="O258" s="1"/>
  <c r="N258" s="1"/>
  <c r="M257"/>
  <c r="L257"/>
  <c r="K257"/>
  <c r="J257"/>
  <c r="I257"/>
  <c r="H257"/>
  <c r="M256"/>
  <c r="L256"/>
  <c r="K256"/>
  <c r="J256"/>
  <c r="I256"/>
  <c r="H256"/>
  <c r="O256" s="1"/>
  <c r="M255"/>
  <c r="L255"/>
  <c r="K255"/>
  <c r="J255"/>
  <c r="I255"/>
  <c r="H255"/>
  <c r="O255" s="1"/>
  <c r="N255" s="1"/>
  <c r="M254"/>
  <c r="L254"/>
  <c r="K254"/>
  <c r="J254"/>
  <c r="I254"/>
  <c r="H254"/>
  <c r="O254" s="1"/>
  <c r="M253"/>
  <c r="L253"/>
  <c r="K253"/>
  <c r="J253"/>
  <c r="I253"/>
  <c r="H253"/>
  <c r="M252"/>
  <c r="L252"/>
  <c r="K252"/>
  <c r="J252"/>
  <c r="I252"/>
  <c r="H252"/>
  <c r="O252" s="1"/>
  <c r="M251"/>
  <c r="L251"/>
  <c r="K251"/>
  <c r="J251"/>
  <c r="I251"/>
  <c r="H251"/>
  <c r="O251" s="1"/>
  <c r="M250"/>
  <c r="L250"/>
  <c r="K250"/>
  <c r="J250"/>
  <c r="I250"/>
  <c r="H250"/>
  <c r="O250" s="1"/>
  <c r="M249"/>
  <c r="L249"/>
  <c r="K249"/>
  <c r="J249"/>
  <c r="I249"/>
  <c r="H249"/>
  <c r="M248"/>
  <c r="L248"/>
  <c r="K248"/>
  <c r="J248"/>
  <c r="I248"/>
  <c r="H248"/>
  <c r="O248" s="1"/>
  <c r="M247"/>
  <c r="L247"/>
  <c r="K247"/>
  <c r="J247"/>
  <c r="I247"/>
  <c r="H247"/>
  <c r="O247" s="1"/>
  <c r="M246"/>
  <c r="L246"/>
  <c r="K246"/>
  <c r="J246"/>
  <c r="I246"/>
  <c r="H246"/>
  <c r="O246" s="1"/>
  <c r="M245"/>
  <c r="L245"/>
  <c r="K245"/>
  <c r="J245"/>
  <c r="I245"/>
  <c r="H245"/>
  <c r="M244"/>
  <c r="L244"/>
  <c r="K244"/>
  <c r="J244"/>
  <c r="I244"/>
  <c r="H244"/>
  <c r="O244" s="1"/>
  <c r="M243"/>
  <c r="L243"/>
  <c r="K243"/>
  <c r="J243"/>
  <c r="I243"/>
  <c r="H243"/>
  <c r="O243" s="1"/>
  <c r="N243" s="1"/>
  <c r="M242"/>
  <c r="L242"/>
  <c r="K242"/>
  <c r="J242"/>
  <c r="I242"/>
  <c r="H242"/>
  <c r="O242" s="1"/>
  <c r="N242" s="1"/>
  <c r="M241"/>
  <c r="L241"/>
  <c r="K241"/>
  <c r="J241"/>
  <c r="I241"/>
  <c r="H241"/>
  <c r="M240"/>
  <c r="L240"/>
  <c r="K240"/>
  <c r="J240"/>
  <c r="I240"/>
  <c r="H240"/>
  <c r="O240" s="1"/>
  <c r="N240" s="1"/>
  <c r="M239"/>
  <c r="L239"/>
  <c r="K239"/>
  <c r="J239"/>
  <c r="I239"/>
  <c r="H239"/>
  <c r="O239" s="1"/>
  <c r="M238"/>
  <c r="L238"/>
  <c r="K238"/>
  <c r="J238"/>
  <c r="I238"/>
  <c r="H238"/>
  <c r="O238" s="1"/>
  <c r="M237"/>
  <c r="L237"/>
  <c r="K237"/>
  <c r="J237"/>
  <c r="I237"/>
  <c r="H237"/>
  <c r="M236"/>
  <c r="L236"/>
  <c r="K236"/>
  <c r="J236"/>
  <c r="I236"/>
  <c r="H236"/>
  <c r="O236" s="1"/>
  <c r="N236" s="1"/>
  <c r="M235"/>
  <c r="L235"/>
  <c r="K235"/>
  <c r="J235"/>
  <c r="I235"/>
  <c r="H235"/>
  <c r="O235" s="1"/>
  <c r="N235" s="1"/>
  <c r="M234"/>
  <c r="L234"/>
  <c r="K234"/>
  <c r="J234"/>
  <c r="I234"/>
  <c r="H234"/>
  <c r="O234" s="1"/>
  <c r="N234" s="1"/>
  <c r="M233"/>
  <c r="L233"/>
  <c r="K233"/>
  <c r="J233"/>
  <c r="I233"/>
  <c r="H233"/>
  <c r="M232"/>
  <c r="L232"/>
  <c r="K232"/>
  <c r="J232"/>
  <c r="I232"/>
  <c r="H232"/>
  <c r="O232" s="1"/>
  <c r="N232" s="1"/>
  <c r="M231"/>
  <c r="L231"/>
  <c r="K231"/>
  <c r="J231"/>
  <c r="I231"/>
  <c r="H231"/>
  <c r="O231" s="1"/>
  <c r="N231" s="1"/>
  <c r="M230"/>
  <c r="L230"/>
  <c r="K230"/>
  <c r="J230"/>
  <c r="I230"/>
  <c r="H230"/>
  <c r="O230" s="1"/>
  <c r="N230" s="1"/>
  <c r="M229"/>
  <c r="L229"/>
  <c r="K229"/>
  <c r="J229"/>
  <c r="I229"/>
  <c r="H229"/>
  <c r="M228"/>
  <c r="L228"/>
  <c r="K228"/>
  <c r="J228"/>
  <c r="I228"/>
  <c r="H228"/>
  <c r="O228" s="1"/>
  <c r="N228" s="1"/>
  <c r="M227"/>
  <c r="L227"/>
  <c r="K227"/>
  <c r="J227"/>
  <c r="I227"/>
  <c r="H227"/>
  <c r="O227" s="1"/>
  <c r="N227" s="1"/>
  <c r="M226"/>
  <c r="L226"/>
  <c r="K226"/>
  <c r="J226"/>
  <c r="I226"/>
  <c r="H226"/>
  <c r="O226" s="1"/>
  <c r="N226" s="1"/>
  <c r="M225"/>
  <c r="L225"/>
  <c r="K225"/>
  <c r="J225"/>
  <c r="I225"/>
  <c r="H225"/>
  <c r="M224"/>
  <c r="L224"/>
  <c r="K224"/>
  <c r="J224"/>
  <c r="I224"/>
  <c r="H224"/>
  <c r="O224" s="1"/>
  <c r="N224" s="1"/>
  <c r="M223"/>
  <c r="L223"/>
  <c r="K223"/>
  <c r="J223"/>
  <c r="I223"/>
  <c r="H223"/>
  <c r="O223" s="1"/>
  <c r="N223" s="1"/>
  <c r="M222"/>
  <c r="L222"/>
  <c r="K222"/>
  <c r="J222"/>
  <c r="I222"/>
  <c r="H222"/>
  <c r="O222" s="1"/>
  <c r="N222" s="1"/>
  <c r="M221"/>
  <c r="L221"/>
  <c r="K221"/>
  <c r="J221"/>
  <c r="I221"/>
  <c r="H221"/>
  <c r="M220"/>
  <c r="L220"/>
  <c r="K220"/>
  <c r="J220"/>
  <c r="I220"/>
  <c r="H220"/>
  <c r="O220" s="1"/>
  <c r="N220" s="1"/>
  <c r="M219"/>
  <c r="L219"/>
  <c r="K219"/>
  <c r="J219"/>
  <c r="I219"/>
  <c r="H219"/>
  <c r="O219" s="1"/>
  <c r="N219" s="1"/>
  <c r="M218"/>
  <c r="L218"/>
  <c r="K218"/>
  <c r="J218"/>
  <c r="I218"/>
  <c r="H218"/>
  <c r="O218" s="1"/>
  <c r="N218" s="1"/>
  <c r="M217"/>
  <c r="L217"/>
  <c r="K217"/>
  <c r="J217"/>
  <c r="I217"/>
  <c r="H217"/>
  <c r="M216"/>
  <c r="L216"/>
  <c r="K216"/>
  <c r="J216"/>
  <c r="I216"/>
  <c r="H216"/>
  <c r="O216" s="1"/>
  <c r="N216" s="1"/>
  <c r="M215"/>
  <c r="L215"/>
  <c r="K215"/>
  <c r="J215"/>
  <c r="I215"/>
  <c r="H215"/>
  <c r="O215" s="1"/>
  <c r="N215" s="1"/>
  <c r="M214"/>
  <c r="L214"/>
  <c r="K214"/>
  <c r="J214"/>
  <c r="I214"/>
  <c r="H214"/>
  <c r="O214" s="1"/>
  <c r="N214" s="1"/>
  <c r="M213"/>
  <c r="L213"/>
  <c r="K213"/>
  <c r="J213"/>
  <c r="I213"/>
  <c r="H213"/>
  <c r="M212"/>
  <c r="L212"/>
  <c r="K212"/>
  <c r="J212"/>
  <c r="I212"/>
  <c r="H212"/>
  <c r="O212" s="1"/>
  <c r="N212" s="1"/>
  <c r="M211"/>
  <c r="L211"/>
  <c r="K211"/>
  <c r="J211"/>
  <c r="I211"/>
  <c r="H211"/>
  <c r="O211" s="1"/>
  <c r="N211" s="1"/>
  <c r="M210"/>
  <c r="L210"/>
  <c r="K210"/>
  <c r="J210"/>
  <c r="I210"/>
  <c r="H210"/>
  <c r="O210" s="1"/>
  <c r="N210" s="1"/>
  <c r="M209"/>
  <c r="L209"/>
  <c r="K209"/>
  <c r="J209"/>
  <c r="I209"/>
  <c r="H209"/>
  <c r="M208"/>
  <c r="L208"/>
  <c r="K208"/>
  <c r="J208"/>
  <c r="I208"/>
  <c r="H208"/>
  <c r="O208" s="1"/>
  <c r="M207"/>
  <c r="L207"/>
  <c r="K207"/>
  <c r="J207"/>
  <c r="I207"/>
  <c r="H207"/>
  <c r="O207" s="1"/>
  <c r="M206"/>
  <c r="L206"/>
  <c r="K206"/>
  <c r="J206"/>
  <c r="I206"/>
  <c r="H206"/>
  <c r="O206" s="1"/>
  <c r="M205"/>
  <c r="L205"/>
  <c r="K205"/>
  <c r="J205"/>
  <c r="I205"/>
  <c r="H205"/>
  <c r="M204"/>
  <c r="L204"/>
  <c r="K204"/>
  <c r="J204"/>
  <c r="I204"/>
  <c r="H204"/>
  <c r="O204" s="1"/>
  <c r="N204" s="1"/>
  <c r="M203"/>
  <c r="L203"/>
  <c r="K203"/>
  <c r="J203"/>
  <c r="I203"/>
  <c r="H203"/>
  <c r="O203" s="1"/>
  <c r="N203" s="1"/>
  <c r="M202"/>
  <c r="L202"/>
  <c r="K202"/>
  <c r="J202"/>
  <c r="I202"/>
  <c r="H202"/>
  <c r="O202" s="1"/>
  <c r="N202" s="1"/>
  <c r="M201"/>
  <c r="L201"/>
  <c r="K201"/>
  <c r="J201"/>
  <c r="I201"/>
  <c r="H201"/>
  <c r="M200"/>
  <c r="L200"/>
  <c r="K200"/>
  <c r="J200"/>
  <c r="I200"/>
  <c r="H200"/>
  <c r="O200" s="1"/>
  <c r="N200" s="1"/>
  <c r="M199"/>
  <c r="L199"/>
  <c r="K199"/>
  <c r="J199"/>
  <c r="I199"/>
  <c r="H199"/>
  <c r="O199" s="1"/>
  <c r="N199" s="1"/>
  <c r="M198"/>
  <c r="L198"/>
  <c r="K198"/>
  <c r="J198"/>
  <c r="I198"/>
  <c r="H198"/>
  <c r="O198" s="1"/>
  <c r="N198" s="1"/>
  <c r="M197"/>
  <c r="L197"/>
  <c r="K197"/>
  <c r="J197"/>
  <c r="I197"/>
  <c r="H197"/>
  <c r="M196"/>
  <c r="L196"/>
  <c r="K196"/>
  <c r="J196"/>
  <c r="I196"/>
  <c r="H196"/>
  <c r="O196" s="1"/>
  <c r="N196" s="1"/>
  <c r="M195"/>
  <c r="L195"/>
  <c r="K195"/>
  <c r="J195"/>
  <c r="I195"/>
  <c r="H195"/>
  <c r="O195" s="1"/>
  <c r="N195" s="1"/>
  <c r="M194"/>
  <c r="L194"/>
  <c r="K194"/>
  <c r="J194"/>
  <c r="I194"/>
  <c r="H194"/>
  <c r="O194" s="1"/>
  <c r="N194" s="1"/>
  <c r="M193"/>
  <c r="L193"/>
  <c r="K193"/>
  <c r="J193"/>
  <c r="I193"/>
  <c r="H193"/>
  <c r="M192"/>
  <c r="L192"/>
  <c r="K192"/>
  <c r="J192"/>
  <c r="I192"/>
  <c r="H192"/>
  <c r="O192" s="1"/>
  <c r="N192" s="1"/>
  <c r="M191"/>
  <c r="L191"/>
  <c r="K191"/>
  <c r="J191"/>
  <c r="I191"/>
  <c r="H191"/>
  <c r="O191" s="1"/>
  <c r="N191" s="1"/>
  <c r="M190"/>
  <c r="L190"/>
  <c r="K190"/>
  <c r="J190"/>
  <c r="I190"/>
  <c r="H190"/>
  <c r="O190" s="1"/>
  <c r="N190" s="1"/>
  <c r="M189"/>
  <c r="L189"/>
  <c r="K189"/>
  <c r="J189"/>
  <c r="I189"/>
  <c r="H189"/>
  <c r="M188"/>
  <c r="L188"/>
  <c r="K188"/>
  <c r="J188"/>
  <c r="I188"/>
  <c r="H188"/>
  <c r="O188" s="1"/>
  <c r="N188" s="1"/>
  <c r="M187"/>
  <c r="L187"/>
  <c r="K187"/>
  <c r="J187"/>
  <c r="I187"/>
  <c r="H187"/>
  <c r="O187" s="1"/>
  <c r="N187" s="1"/>
  <c r="M186"/>
  <c r="L186"/>
  <c r="K186"/>
  <c r="J186"/>
  <c r="I186"/>
  <c r="H186"/>
  <c r="O186" s="1"/>
  <c r="N186" s="1"/>
  <c r="M185"/>
  <c r="L185"/>
  <c r="K185"/>
  <c r="J185"/>
  <c r="I185"/>
  <c r="H185"/>
  <c r="M184"/>
  <c r="L184"/>
  <c r="K184"/>
  <c r="J184"/>
  <c r="I184"/>
  <c r="H184"/>
  <c r="O184" s="1"/>
  <c r="N184" s="1"/>
  <c r="M183"/>
  <c r="L183"/>
  <c r="K183"/>
  <c r="J183"/>
  <c r="I183"/>
  <c r="H183"/>
  <c r="O183" s="1"/>
  <c r="N183" s="1"/>
  <c r="M182"/>
  <c r="L182"/>
  <c r="K182"/>
  <c r="J182"/>
  <c r="I182"/>
  <c r="H182"/>
  <c r="O182" s="1"/>
  <c r="N182" s="1"/>
  <c r="M181"/>
  <c r="L181"/>
  <c r="K181"/>
  <c r="J181"/>
  <c r="I181"/>
  <c r="H181"/>
  <c r="M180"/>
  <c r="L180"/>
  <c r="K180"/>
  <c r="J180"/>
  <c r="I180"/>
  <c r="H180"/>
  <c r="O180" s="1"/>
  <c r="M179"/>
  <c r="L179"/>
  <c r="K179"/>
  <c r="J179"/>
  <c r="I179"/>
  <c r="H179"/>
  <c r="O179" s="1"/>
  <c r="M178"/>
  <c r="L178"/>
  <c r="K178"/>
  <c r="J178"/>
  <c r="I178"/>
  <c r="H178"/>
  <c r="O178" s="1"/>
  <c r="M177"/>
  <c r="L177"/>
  <c r="K177"/>
  <c r="J177"/>
  <c r="I177"/>
  <c r="H177"/>
  <c r="M176"/>
  <c r="L176"/>
  <c r="K176"/>
  <c r="J176"/>
  <c r="I176"/>
  <c r="H176"/>
  <c r="O176" s="1"/>
  <c r="M175"/>
  <c r="L175"/>
  <c r="K175"/>
  <c r="J175"/>
  <c r="I175"/>
  <c r="H175"/>
  <c r="O175" s="1"/>
  <c r="N175" s="1"/>
  <c r="M174"/>
  <c r="L174"/>
  <c r="K174"/>
  <c r="J174"/>
  <c r="I174"/>
  <c r="H174"/>
  <c r="O174" s="1"/>
  <c r="N174" s="1"/>
  <c r="M173"/>
  <c r="L173"/>
  <c r="K173"/>
  <c r="J173"/>
  <c r="I173"/>
  <c r="H173"/>
  <c r="M172"/>
  <c r="L172"/>
  <c r="K172"/>
  <c r="J172"/>
  <c r="I172"/>
  <c r="H172"/>
  <c r="O172" s="1"/>
  <c r="N172" s="1"/>
  <c r="M171"/>
  <c r="L171"/>
  <c r="K171"/>
  <c r="J171"/>
  <c r="I171"/>
  <c r="H171"/>
  <c r="O171" s="1"/>
  <c r="N171" s="1"/>
  <c r="M170"/>
  <c r="L170"/>
  <c r="K170"/>
  <c r="J170"/>
  <c r="I170"/>
  <c r="H170"/>
  <c r="O170" s="1"/>
  <c r="N170" s="1"/>
  <c r="M169"/>
  <c r="L169"/>
  <c r="K169"/>
  <c r="J169"/>
  <c r="I169"/>
  <c r="H169"/>
  <c r="M168"/>
  <c r="L168"/>
  <c r="K168"/>
  <c r="J168"/>
  <c r="I168"/>
  <c r="H168"/>
  <c r="O168" s="1"/>
  <c r="N168" s="1"/>
  <c r="M167"/>
  <c r="L167"/>
  <c r="K167"/>
  <c r="J167"/>
  <c r="I167"/>
  <c r="H167"/>
  <c r="O167" s="1"/>
  <c r="N167" s="1"/>
  <c r="M166"/>
  <c r="L166"/>
  <c r="K166"/>
  <c r="J166"/>
  <c r="I166"/>
  <c r="H166"/>
  <c r="O166" s="1"/>
  <c r="N166" s="1"/>
  <c r="M165"/>
  <c r="L165"/>
  <c r="K165"/>
  <c r="J165"/>
  <c r="I165"/>
  <c r="H165"/>
  <c r="M164"/>
  <c r="L164"/>
  <c r="K164"/>
  <c r="J164"/>
  <c r="I164"/>
  <c r="H164"/>
  <c r="O164" s="1"/>
  <c r="N164" s="1"/>
  <c r="M163"/>
  <c r="L163"/>
  <c r="K163"/>
  <c r="J163"/>
  <c r="I163"/>
  <c r="H163"/>
  <c r="O163" s="1"/>
  <c r="N163" s="1"/>
  <c r="M162"/>
  <c r="L162"/>
  <c r="K162"/>
  <c r="J162"/>
  <c r="I162"/>
  <c r="H162"/>
  <c r="O162" s="1"/>
  <c r="N162" s="1"/>
  <c r="M161"/>
  <c r="L161"/>
  <c r="K161"/>
  <c r="J161"/>
  <c r="I161"/>
  <c r="H161"/>
  <c r="M160"/>
  <c r="L160"/>
  <c r="K160"/>
  <c r="J160"/>
  <c r="I160"/>
  <c r="H160"/>
  <c r="O160" s="1"/>
  <c r="N160" s="1"/>
  <c r="M159"/>
  <c r="L159"/>
  <c r="K159"/>
  <c r="J159"/>
  <c r="I159"/>
  <c r="H159"/>
  <c r="O159" s="1"/>
  <c r="M158"/>
  <c r="L158"/>
  <c r="K158"/>
  <c r="J158"/>
  <c r="I158"/>
  <c r="H158"/>
  <c r="O158" s="1"/>
  <c r="M157"/>
  <c r="L157"/>
  <c r="K157"/>
  <c r="J157"/>
  <c r="I157"/>
  <c r="H157"/>
  <c r="M156"/>
  <c r="L156"/>
  <c r="K156"/>
  <c r="J156"/>
  <c r="I156"/>
  <c r="H156"/>
  <c r="O156" s="1"/>
  <c r="M155"/>
  <c r="L155"/>
  <c r="K155"/>
  <c r="J155"/>
  <c r="I155"/>
  <c r="H155"/>
  <c r="O155" s="1"/>
  <c r="M154"/>
  <c r="L154"/>
  <c r="K154"/>
  <c r="J154"/>
  <c r="I154"/>
  <c r="H154"/>
  <c r="O154" s="1"/>
  <c r="M153"/>
  <c r="L153"/>
  <c r="K153"/>
  <c r="J153"/>
  <c r="I153"/>
  <c r="H153"/>
  <c r="M152"/>
  <c r="L152"/>
  <c r="K152"/>
  <c r="J152"/>
  <c r="I152"/>
  <c r="H152"/>
  <c r="O152" s="1"/>
  <c r="M151"/>
  <c r="L151"/>
  <c r="K151"/>
  <c r="J151"/>
  <c r="I151"/>
  <c r="H151"/>
  <c r="O151" s="1"/>
  <c r="N151" s="1"/>
  <c r="M150"/>
  <c r="L150"/>
  <c r="K150"/>
  <c r="J150"/>
  <c r="I150"/>
  <c r="H150"/>
  <c r="O150" s="1"/>
  <c r="N150" s="1"/>
  <c r="M149"/>
  <c r="L149"/>
  <c r="K149"/>
  <c r="J149"/>
  <c r="I149"/>
  <c r="H149"/>
  <c r="M148"/>
  <c r="L148"/>
  <c r="K148"/>
  <c r="J148"/>
  <c r="I148"/>
  <c r="H148"/>
  <c r="O148" s="1"/>
  <c r="N148" s="1"/>
  <c r="M147"/>
  <c r="L147"/>
  <c r="K147"/>
  <c r="J147"/>
  <c r="I147"/>
  <c r="H147"/>
  <c r="O147" s="1"/>
  <c r="N147" s="1"/>
  <c r="M146"/>
  <c r="L146"/>
  <c r="K146"/>
  <c r="J146"/>
  <c r="I146"/>
  <c r="H146"/>
  <c r="O146" s="1"/>
  <c r="N146" s="1"/>
  <c r="M145"/>
  <c r="L145"/>
  <c r="K145"/>
  <c r="J145"/>
  <c r="I145"/>
  <c r="H145"/>
  <c r="M144"/>
  <c r="L144"/>
  <c r="K144"/>
  <c r="J144"/>
  <c r="I144"/>
  <c r="H144"/>
  <c r="O144" s="1"/>
  <c r="N144" s="1"/>
  <c r="M143"/>
  <c r="L143"/>
  <c r="K143"/>
  <c r="J143"/>
  <c r="I143"/>
  <c r="H143"/>
  <c r="O143" s="1"/>
  <c r="M142"/>
  <c r="L142"/>
  <c r="K142"/>
  <c r="J142"/>
  <c r="I142"/>
  <c r="H142"/>
  <c r="O142" s="1"/>
  <c r="M141"/>
  <c r="L141"/>
  <c r="K141"/>
  <c r="J141"/>
  <c r="I141"/>
  <c r="H141"/>
  <c r="M140"/>
  <c r="L140"/>
  <c r="K140"/>
  <c r="J140"/>
  <c r="I140"/>
  <c r="H140"/>
  <c r="O140" s="1"/>
  <c r="N140" s="1"/>
  <c r="M139"/>
  <c r="L139"/>
  <c r="K139"/>
  <c r="J139"/>
  <c r="I139"/>
  <c r="H139"/>
  <c r="O139" s="1"/>
  <c r="N139" s="1"/>
  <c r="M138"/>
  <c r="L138"/>
  <c r="K138"/>
  <c r="J138"/>
  <c r="I138"/>
  <c r="H138"/>
  <c r="O138" s="1"/>
  <c r="N138" s="1"/>
  <c r="M137"/>
  <c r="L137"/>
  <c r="K137"/>
  <c r="J137"/>
  <c r="I137"/>
  <c r="H137"/>
  <c r="M136"/>
  <c r="L136"/>
  <c r="K136"/>
  <c r="J136"/>
  <c r="I136"/>
  <c r="H136"/>
  <c r="O136" s="1"/>
  <c r="N136" s="1"/>
  <c r="M135"/>
  <c r="L135"/>
  <c r="K135"/>
  <c r="J135"/>
  <c r="I135"/>
  <c r="H135"/>
  <c r="O135" s="1"/>
  <c r="N135" s="1"/>
  <c r="M134"/>
  <c r="L134"/>
  <c r="K134"/>
  <c r="J134"/>
  <c r="I134"/>
  <c r="H134"/>
  <c r="O134" s="1"/>
  <c r="N134" s="1"/>
  <c r="M133"/>
  <c r="L133"/>
  <c r="K133"/>
  <c r="J133"/>
  <c r="I133"/>
  <c r="H133"/>
  <c r="M132"/>
  <c r="L132"/>
  <c r="K132"/>
  <c r="J132"/>
  <c r="I132"/>
  <c r="H132"/>
  <c r="O132" s="1"/>
  <c r="M131"/>
  <c r="L131"/>
  <c r="K131"/>
  <c r="J131"/>
  <c r="I131"/>
  <c r="H131"/>
  <c r="O131" s="1"/>
  <c r="M130"/>
  <c r="L130"/>
  <c r="K130"/>
  <c r="J130"/>
  <c r="I130"/>
  <c r="H130"/>
  <c r="O130" s="1"/>
  <c r="N130" s="1"/>
  <c r="M129"/>
  <c r="L129"/>
  <c r="K129"/>
  <c r="J129"/>
  <c r="I129"/>
  <c r="H129"/>
  <c r="M128"/>
  <c r="L128"/>
  <c r="K128"/>
  <c r="J128"/>
  <c r="I128"/>
  <c r="H128"/>
  <c r="O128" s="1"/>
  <c r="N128" s="1"/>
  <c r="M127"/>
  <c r="L127"/>
  <c r="K127"/>
  <c r="J127"/>
  <c r="I127"/>
  <c r="H127"/>
  <c r="O127" s="1"/>
  <c r="N127" s="1"/>
  <c r="M126"/>
  <c r="L126"/>
  <c r="K126"/>
  <c r="J126"/>
  <c r="I126"/>
  <c r="H126"/>
  <c r="O126" s="1"/>
  <c r="N126" s="1"/>
  <c r="M125"/>
  <c r="L125"/>
  <c r="K125"/>
  <c r="J125"/>
  <c r="I125"/>
  <c r="H125"/>
  <c r="M124"/>
  <c r="L124"/>
  <c r="K124"/>
  <c r="J124"/>
  <c r="I124"/>
  <c r="H124"/>
  <c r="O124" s="1"/>
  <c r="N124" s="1"/>
  <c r="M123"/>
  <c r="L123"/>
  <c r="K123"/>
  <c r="J123"/>
  <c r="I123"/>
  <c r="H123"/>
  <c r="O123" s="1"/>
  <c r="N123" s="1"/>
  <c r="M122"/>
  <c r="L122"/>
  <c r="K122"/>
  <c r="J122"/>
  <c r="I122"/>
  <c r="H122"/>
  <c r="O122" s="1"/>
  <c r="N122" s="1"/>
  <c r="M121"/>
  <c r="L121"/>
  <c r="K121"/>
  <c r="J121"/>
  <c r="I121"/>
  <c r="H121"/>
  <c r="M120"/>
  <c r="L120"/>
  <c r="K120"/>
  <c r="J120"/>
  <c r="I120"/>
  <c r="H120"/>
  <c r="O120" s="1"/>
  <c r="N120" s="1"/>
  <c r="M119"/>
  <c r="L119"/>
  <c r="K119"/>
  <c r="J119"/>
  <c r="I119"/>
  <c r="H119"/>
  <c r="O119" s="1"/>
  <c r="N119" s="1"/>
  <c r="M118"/>
  <c r="L118"/>
  <c r="K118"/>
  <c r="J118"/>
  <c r="I118"/>
  <c r="H118"/>
  <c r="O118" s="1"/>
  <c r="N118" s="1"/>
  <c r="M117"/>
  <c r="L117"/>
  <c r="K117"/>
  <c r="J117"/>
  <c r="I117"/>
  <c r="H117"/>
  <c r="M116"/>
  <c r="L116"/>
  <c r="K116"/>
  <c r="J116"/>
  <c r="I116"/>
  <c r="H116"/>
  <c r="O116" s="1"/>
  <c r="M115"/>
  <c r="L115"/>
  <c r="K115"/>
  <c r="J115"/>
  <c r="I115"/>
  <c r="H115"/>
  <c r="O115" s="1"/>
  <c r="N115" s="1"/>
  <c r="M114"/>
  <c r="L114"/>
  <c r="K114"/>
  <c r="J114"/>
  <c r="I114"/>
  <c r="H114"/>
  <c r="O114" s="1"/>
  <c r="M113"/>
  <c r="L113"/>
  <c r="K113"/>
  <c r="J113"/>
  <c r="I113"/>
  <c r="H113"/>
  <c r="M112"/>
  <c r="L112"/>
  <c r="K112"/>
  <c r="J112"/>
  <c r="I112"/>
  <c r="H112"/>
  <c r="O112" s="1"/>
  <c r="N112" s="1"/>
  <c r="M111"/>
  <c r="L111"/>
  <c r="K111"/>
  <c r="J111"/>
  <c r="I111"/>
  <c r="H111"/>
  <c r="O111" s="1"/>
  <c r="N111" s="1"/>
  <c r="M110"/>
  <c r="L110"/>
  <c r="K110"/>
  <c r="J110"/>
  <c r="I110"/>
  <c r="H110"/>
  <c r="O110" s="1"/>
  <c r="N110" s="1"/>
  <c r="M109"/>
  <c r="L109"/>
  <c r="K109"/>
  <c r="J109"/>
  <c r="I109"/>
  <c r="H109"/>
  <c r="M108"/>
  <c r="L108"/>
  <c r="K108"/>
  <c r="J108"/>
  <c r="I108"/>
  <c r="H108"/>
  <c r="O108" s="1"/>
  <c r="M107"/>
  <c r="L107"/>
  <c r="K107"/>
  <c r="J107"/>
  <c r="I107"/>
  <c r="H107"/>
  <c r="O107" s="1"/>
  <c r="M106"/>
  <c r="L106"/>
  <c r="K106"/>
  <c r="J106"/>
  <c r="I106"/>
  <c r="H106"/>
  <c r="O106" s="1"/>
  <c r="M105"/>
  <c r="L105"/>
  <c r="K105"/>
  <c r="J105"/>
  <c r="I105"/>
  <c r="H105"/>
  <c r="M104"/>
  <c r="L104"/>
  <c r="K104"/>
  <c r="J104"/>
  <c r="I104"/>
  <c r="H104"/>
  <c r="O104" s="1"/>
  <c r="M103"/>
  <c r="L103"/>
  <c r="K103"/>
  <c r="J103"/>
  <c r="I103"/>
  <c r="H103"/>
  <c r="O103" s="1"/>
  <c r="M102"/>
  <c r="L102"/>
  <c r="K102"/>
  <c r="J102"/>
  <c r="I102"/>
  <c r="H102"/>
  <c r="O102" s="1"/>
  <c r="M101"/>
  <c r="L101"/>
  <c r="K101"/>
  <c r="J101"/>
  <c r="I101"/>
  <c r="H101"/>
  <c r="M100"/>
  <c r="L100"/>
  <c r="K100"/>
  <c r="J100"/>
  <c r="I100"/>
  <c r="H100"/>
  <c r="O100" s="1"/>
  <c r="N100" s="1"/>
  <c r="M99"/>
  <c r="L99"/>
  <c r="K99"/>
  <c r="J99"/>
  <c r="I99"/>
  <c r="H99"/>
  <c r="O99" s="1"/>
  <c r="N99" s="1"/>
  <c r="M98"/>
  <c r="L98"/>
  <c r="K98"/>
  <c r="J98"/>
  <c r="I98"/>
  <c r="H98"/>
  <c r="O98" s="1"/>
  <c r="N98" s="1"/>
  <c r="M97"/>
  <c r="L97"/>
  <c r="K97"/>
  <c r="J97"/>
  <c r="I97"/>
  <c r="H97"/>
  <c r="M96"/>
  <c r="L96"/>
  <c r="K96"/>
  <c r="J96"/>
  <c r="I96"/>
  <c r="H96"/>
  <c r="O96" s="1"/>
  <c r="N96" s="1"/>
  <c r="M95"/>
  <c r="L95"/>
  <c r="K95"/>
  <c r="J95"/>
  <c r="I95"/>
  <c r="H95"/>
  <c r="O95" s="1"/>
  <c r="N95" s="1"/>
  <c r="M94"/>
  <c r="L94"/>
  <c r="K94"/>
  <c r="J94"/>
  <c r="I94"/>
  <c r="H94"/>
  <c r="O94" s="1"/>
  <c r="M93"/>
  <c r="L93"/>
  <c r="K93"/>
  <c r="J93"/>
  <c r="I93"/>
  <c r="H93"/>
  <c r="M92"/>
  <c r="L92"/>
  <c r="K92"/>
  <c r="J92"/>
  <c r="I92"/>
  <c r="H92"/>
  <c r="O92" s="1"/>
  <c r="M91"/>
  <c r="L91"/>
  <c r="K91"/>
  <c r="J91"/>
  <c r="I91"/>
  <c r="H91"/>
  <c r="O91" s="1"/>
  <c r="M90"/>
  <c r="L90"/>
  <c r="K90"/>
  <c r="J90"/>
  <c r="I90"/>
  <c r="H90"/>
  <c r="O90" s="1"/>
  <c r="M89"/>
  <c r="L89"/>
  <c r="K89"/>
  <c r="J89"/>
  <c r="I89"/>
  <c r="H89"/>
  <c r="M88"/>
  <c r="L88"/>
  <c r="K88"/>
  <c r="J88"/>
  <c r="I88"/>
  <c r="H88"/>
  <c r="O88" s="1"/>
  <c r="M87"/>
  <c r="L87"/>
  <c r="K87"/>
  <c r="J87"/>
  <c r="I87"/>
  <c r="H87"/>
  <c r="O87" s="1"/>
  <c r="M86"/>
  <c r="L86"/>
  <c r="K86"/>
  <c r="J86"/>
  <c r="I86"/>
  <c r="H86"/>
  <c r="O86" s="1"/>
  <c r="M85"/>
  <c r="L85"/>
  <c r="K85"/>
  <c r="J85"/>
  <c r="I85"/>
  <c r="H85"/>
  <c r="M84"/>
  <c r="L84"/>
  <c r="K84"/>
  <c r="J84"/>
  <c r="I84"/>
  <c r="H84"/>
  <c r="O84" s="1"/>
  <c r="N84" s="1"/>
  <c r="M83"/>
  <c r="L83"/>
  <c r="K83"/>
  <c r="J83"/>
  <c r="I83"/>
  <c r="H83"/>
  <c r="O83" s="1"/>
  <c r="N83" s="1"/>
  <c r="M82"/>
  <c r="L82"/>
  <c r="K82"/>
  <c r="J82"/>
  <c r="I82"/>
  <c r="H82"/>
  <c r="O82" s="1"/>
  <c r="N82" s="1"/>
  <c r="M81"/>
  <c r="L81"/>
  <c r="K81"/>
  <c r="J81"/>
  <c r="I81"/>
  <c r="H81"/>
  <c r="M80"/>
  <c r="L80"/>
  <c r="K80"/>
  <c r="J80"/>
  <c r="I80"/>
  <c r="H80"/>
  <c r="O80" s="1"/>
  <c r="N80" s="1"/>
  <c r="M79"/>
  <c r="L79"/>
  <c r="K79"/>
  <c r="J79"/>
  <c r="I79"/>
  <c r="H79"/>
  <c r="O79" s="1"/>
  <c r="N79" s="1"/>
  <c r="M78"/>
  <c r="L78"/>
  <c r="K78"/>
  <c r="J78"/>
  <c r="I78"/>
  <c r="H78"/>
  <c r="O78" s="1"/>
  <c r="M77"/>
  <c r="L77"/>
  <c r="K77"/>
  <c r="J77"/>
  <c r="I77"/>
  <c r="H77"/>
  <c r="M76"/>
  <c r="L76"/>
  <c r="K76"/>
  <c r="J76"/>
  <c r="I76"/>
  <c r="H76"/>
  <c r="O76" s="1"/>
  <c r="M75"/>
  <c r="L75"/>
  <c r="K75"/>
  <c r="J75"/>
  <c r="I75"/>
  <c r="H75"/>
  <c r="O75" s="1"/>
  <c r="M74"/>
  <c r="L74"/>
  <c r="K74"/>
  <c r="J74"/>
  <c r="I74"/>
  <c r="H74"/>
  <c r="O74" s="1"/>
  <c r="M73"/>
  <c r="L73"/>
  <c r="K73"/>
  <c r="J73"/>
  <c r="I73"/>
  <c r="H73"/>
  <c r="M72"/>
  <c r="L72"/>
  <c r="K72"/>
  <c r="J72"/>
  <c r="I72"/>
  <c r="H72"/>
  <c r="O72" s="1"/>
  <c r="N72" s="1"/>
  <c r="M71"/>
  <c r="L71"/>
  <c r="K71"/>
  <c r="J71"/>
  <c r="I71"/>
  <c r="H71"/>
  <c r="O71" s="1"/>
  <c r="N71" s="1"/>
  <c r="M70"/>
  <c r="L70"/>
  <c r="K70"/>
  <c r="J70"/>
  <c r="I70"/>
  <c r="H70"/>
  <c r="O70" s="1"/>
  <c r="M69"/>
  <c r="L69"/>
  <c r="K69"/>
  <c r="J69"/>
  <c r="I69"/>
  <c r="H69"/>
  <c r="M68"/>
  <c r="L68"/>
  <c r="K68"/>
  <c r="J68"/>
  <c r="I68"/>
  <c r="H68"/>
  <c r="O68" s="1"/>
  <c r="N68" s="1"/>
  <c r="M67"/>
  <c r="L67"/>
  <c r="K67"/>
  <c r="J67"/>
  <c r="I67"/>
  <c r="H67"/>
  <c r="O67" s="1"/>
  <c r="N67" s="1"/>
  <c r="M66"/>
  <c r="L66"/>
  <c r="K66"/>
  <c r="J66"/>
  <c r="I66"/>
  <c r="H66"/>
  <c r="O66" s="1"/>
  <c r="N66" s="1"/>
  <c r="M65"/>
  <c r="L65"/>
  <c r="K65"/>
  <c r="J65"/>
  <c r="I65"/>
  <c r="H65"/>
  <c r="M64"/>
  <c r="L64"/>
  <c r="K64"/>
  <c r="J64"/>
  <c r="I64"/>
  <c r="H64"/>
  <c r="O64" s="1"/>
  <c r="N64" s="1"/>
  <c r="M63"/>
  <c r="L63"/>
  <c r="K63"/>
  <c r="J63"/>
  <c r="I63"/>
  <c r="H63"/>
  <c r="O63" s="1"/>
  <c r="N63" s="1"/>
  <c r="M62"/>
  <c r="L62"/>
  <c r="K62"/>
  <c r="J62"/>
  <c r="I62"/>
  <c r="H62"/>
  <c r="O62" s="1"/>
  <c r="N62" s="1"/>
  <c r="M61"/>
  <c r="L61"/>
  <c r="K61"/>
  <c r="J61"/>
  <c r="I61"/>
  <c r="H61"/>
  <c r="M60"/>
  <c r="L60"/>
  <c r="K60"/>
  <c r="J60"/>
  <c r="I60"/>
  <c r="H60"/>
  <c r="O60" s="1"/>
  <c r="N60" s="1"/>
  <c r="M59"/>
  <c r="L59"/>
  <c r="K59"/>
  <c r="J59"/>
  <c r="I59"/>
  <c r="H59"/>
  <c r="O59" s="1"/>
  <c r="N59" s="1"/>
  <c r="M58"/>
  <c r="L58"/>
  <c r="K58"/>
  <c r="J58"/>
  <c r="I58"/>
  <c r="H58"/>
  <c r="O58" s="1"/>
  <c r="N58" s="1"/>
  <c r="M57"/>
  <c r="L57"/>
  <c r="K57"/>
  <c r="J57"/>
  <c r="I57"/>
  <c r="H57"/>
  <c r="M56"/>
  <c r="L56"/>
  <c r="K56"/>
  <c r="J56"/>
  <c r="I56"/>
  <c r="H56"/>
  <c r="O56" s="1"/>
  <c r="N56" s="1"/>
  <c r="M55"/>
  <c r="L55"/>
  <c r="K55"/>
  <c r="J55"/>
  <c r="I55"/>
  <c r="H55"/>
  <c r="O55" s="1"/>
  <c r="N55" s="1"/>
  <c r="M54"/>
  <c r="L54"/>
  <c r="K54"/>
  <c r="J54"/>
  <c r="I54"/>
  <c r="H54"/>
  <c r="O54" s="1"/>
  <c r="N54" s="1"/>
  <c r="M53"/>
  <c r="L53"/>
  <c r="K53"/>
  <c r="J53"/>
  <c r="I53"/>
  <c r="H53"/>
  <c r="M52"/>
  <c r="L52"/>
  <c r="K52"/>
  <c r="J52"/>
  <c r="I52"/>
  <c r="H52"/>
  <c r="O52" s="1"/>
  <c r="N52" s="1"/>
  <c r="M51"/>
  <c r="L51"/>
  <c r="K51"/>
  <c r="J51"/>
  <c r="I51"/>
  <c r="H51"/>
  <c r="O51" s="1"/>
  <c r="N51" s="1"/>
  <c r="M50"/>
  <c r="L50"/>
  <c r="K50"/>
  <c r="J50"/>
  <c r="I50"/>
  <c r="H50"/>
  <c r="O50" s="1"/>
  <c r="N50" s="1"/>
  <c r="M49"/>
  <c r="L49"/>
  <c r="K49"/>
  <c r="J49"/>
  <c r="I49"/>
  <c r="H49"/>
  <c r="M48"/>
  <c r="L48"/>
  <c r="K48"/>
  <c r="J48"/>
  <c r="I48"/>
  <c r="H48"/>
  <c r="O48" s="1"/>
  <c r="N48" s="1"/>
  <c r="M47"/>
  <c r="L47"/>
  <c r="K47"/>
  <c r="J47"/>
  <c r="I47"/>
  <c r="H47"/>
  <c r="O47" s="1"/>
  <c r="N47" s="1"/>
  <c r="M46"/>
  <c r="L46"/>
  <c r="K46"/>
  <c r="J46"/>
  <c r="I46"/>
  <c r="H46"/>
  <c r="O46" s="1"/>
  <c r="N46" s="1"/>
  <c r="M45"/>
  <c r="L45"/>
  <c r="K45"/>
  <c r="J45"/>
  <c r="I45"/>
  <c r="H45"/>
  <c r="M44"/>
  <c r="L44"/>
  <c r="K44"/>
  <c r="J44"/>
  <c r="I44"/>
  <c r="H44"/>
  <c r="O44" s="1"/>
  <c r="N44" s="1"/>
  <c r="M43"/>
  <c r="L43"/>
  <c r="K43"/>
  <c r="J43"/>
  <c r="I43"/>
  <c r="H43"/>
  <c r="O43" s="1"/>
  <c r="N43" s="1"/>
  <c r="M42"/>
  <c r="L42"/>
  <c r="K42"/>
  <c r="J42"/>
  <c r="I42"/>
  <c r="H42"/>
  <c r="O42" s="1"/>
  <c r="N42" s="1"/>
  <c r="M41"/>
  <c r="L41"/>
  <c r="K41"/>
  <c r="J41"/>
  <c r="I41"/>
  <c r="H41"/>
  <c r="M40"/>
  <c r="L40"/>
  <c r="K40"/>
  <c r="J40"/>
  <c r="I40"/>
  <c r="H40"/>
  <c r="O40" s="1"/>
  <c r="N40" s="1"/>
  <c r="M39"/>
  <c r="L39"/>
  <c r="K39"/>
  <c r="J39"/>
  <c r="I39"/>
  <c r="H39"/>
  <c r="O39" s="1"/>
  <c r="N39" s="1"/>
  <c r="M38"/>
  <c r="L38"/>
  <c r="K38"/>
  <c r="J38"/>
  <c r="I38"/>
  <c r="H38"/>
  <c r="O38" s="1"/>
  <c r="N38" s="1"/>
  <c r="M37"/>
  <c r="L37"/>
  <c r="K37"/>
  <c r="J37"/>
  <c r="I37"/>
  <c r="H37"/>
  <c r="M36"/>
  <c r="L36"/>
  <c r="K36"/>
  <c r="J36"/>
  <c r="I36"/>
  <c r="H36"/>
  <c r="O36" s="1"/>
  <c r="N36" s="1"/>
  <c r="M35"/>
  <c r="L35"/>
  <c r="K35"/>
  <c r="J35"/>
  <c r="I35"/>
  <c r="H35"/>
  <c r="O35" s="1"/>
  <c r="N35" s="1"/>
  <c r="M34"/>
  <c r="L34"/>
  <c r="K34"/>
  <c r="J34"/>
  <c r="I34"/>
  <c r="H34"/>
  <c r="O34" s="1"/>
  <c r="N34" s="1"/>
  <c r="M33"/>
  <c r="L33"/>
  <c r="K33"/>
  <c r="J33"/>
  <c r="I33"/>
  <c r="H33"/>
  <c r="M32"/>
  <c r="L32"/>
  <c r="K32"/>
  <c r="J32"/>
  <c r="I32"/>
  <c r="H32"/>
  <c r="O32" s="1"/>
  <c r="N32" s="1"/>
  <c r="M31"/>
  <c r="L31"/>
  <c r="K31"/>
  <c r="J31"/>
  <c r="I31"/>
  <c r="H31"/>
  <c r="O31" s="1"/>
  <c r="N31" s="1"/>
  <c r="M30"/>
  <c r="L30"/>
  <c r="K30"/>
  <c r="J30"/>
  <c r="I30"/>
  <c r="H30"/>
  <c r="O30" s="1"/>
  <c r="N30" s="1"/>
  <c r="M29"/>
  <c r="L29"/>
  <c r="K29"/>
  <c r="J29"/>
  <c r="I29"/>
  <c r="H29"/>
  <c r="M28"/>
  <c r="L28"/>
  <c r="K28"/>
  <c r="J28"/>
  <c r="I28"/>
  <c r="H28"/>
  <c r="O28" s="1"/>
  <c r="N28" s="1"/>
  <c r="M27"/>
  <c r="L27"/>
  <c r="K27"/>
  <c r="J27"/>
  <c r="I27"/>
  <c r="H27"/>
  <c r="O27" s="1"/>
  <c r="N27" s="1"/>
  <c r="M26"/>
  <c r="L26"/>
  <c r="K26"/>
  <c r="J26"/>
  <c r="I26"/>
  <c r="H26"/>
  <c r="O26" s="1"/>
  <c r="N26" s="1"/>
  <c r="M25"/>
  <c r="L25"/>
  <c r="K25"/>
  <c r="J25"/>
  <c r="I25"/>
  <c r="H25"/>
  <c r="M24"/>
  <c r="L24"/>
  <c r="K24"/>
  <c r="J24"/>
  <c r="I24"/>
  <c r="H24"/>
  <c r="O24" s="1"/>
  <c r="N24" s="1"/>
  <c r="M23"/>
  <c r="L23"/>
  <c r="K23"/>
  <c r="J23"/>
  <c r="I23"/>
  <c r="H23"/>
  <c r="O23" s="1"/>
  <c r="N23" s="1"/>
  <c r="M22"/>
  <c r="L22"/>
  <c r="K22"/>
  <c r="J22"/>
  <c r="I22"/>
  <c r="H22"/>
  <c r="O22" s="1"/>
  <c r="N22" s="1"/>
  <c r="M21"/>
  <c r="L21"/>
  <c r="K21"/>
  <c r="J21"/>
  <c r="I21"/>
  <c r="H21"/>
  <c r="M20"/>
  <c r="L20"/>
  <c r="K20"/>
  <c r="J20"/>
  <c r="I20"/>
  <c r="H20"/>
  <c r="O20" s="1"/>
  <c r="N20" s="1"/>
  <c r="M19"/>
  <c r="L19"/>
  <c r="K19"/>
  <c r="J19"/>
  <c r="I19"/>
  <c r="H19"/>
  <c r="O19" s="1"/>
  <c r="N19" s="1"/>
  <c r="M18"/>
  <c r="L18"/>
  <c r="K18"/>
  <c r="J18"/>
  <c r="I18"/>
  <c r="H18"/>
  <c r="O18" s="1"/>
  <c r="N18" s="1"/>
  <c r="M17"/>
  <c r="L17"/>
  <c r="K17"/>
  <c r="J17"/>
  <c r="I17"/>
  <c r="H17"/>
  <c r="M16"/>
  <c r="L16"/>
  <c r="K16"/>
  <c r="J16"/>
  <c r="I16"/>
  <c r="H16"/>
  <c r="O16" s="1"/>
  <c r="N16" s="1"/>
  <c r="M15"/>
  <c r="L15"/>
  <c r="K15"/>
  <c r="J15"/>
  <c r="I15"/>
  <c r="H15"/>
  <c r="O15" s="1"/>
  <c r="N15" s="1"/>
  <c r="M14"/>
  <c r="L14"/>
  <c r="K14"/>
  <c r="J14"/>
  <c r="I14"/>
  <c r="H14"/>
  <c r="O14" s="1"/>
  <c r="N14" s="1"/>
  <c r="M13"/>
  <c r="L13"/>
  <c r="K13"/>
  <c r="J13"/>
  <c r="I13"/>
  <c r="H13"/>
  <c r="M12"/>
  <c r="L12"/>
  <c r="K12"/>
  <c r="J12"/>
  <c r="I12"/>
  <c r="H12"/>
  <c r="O12" s="1"/>
  <c r="N12" s="1"/>
  <c r="M11"/>
  <c r="L11"/>
  <c r="K11"/>
  <c r="J11"/>
  <c r="I11"/>
  <c r="H11"/>
  <c r="O11" s="1"/>
  <c r="N11" s="1"/>
  <c r="M10"/>
  <c r="L10"/>
  <c r="K10"/>
  <c r="J10"/>
  <c r="I10"/>
  <c r="H10"/>
  <c r="O10" s="1"/>
  <c r="N10" s="1"/>
  <c r="M9"/>
  <c r="L9"/>
  <c r="K9"/>
  <c r="J9"/>
  <c r="I9"/>
  <c r="H9"/>
  <c r="M8"/>
  <c r="L8"/>
  <c r="K8"/>
  <c r="J8"/>
  <c r="I8"/>
  <c r="H8"/>
  <c r="O8" s="1"/>
  <c r="N8" s="1"/>
  <c r="M7"/>
  <c r="L7"/>
  <c r="K7"/>
  <c r="J7"/>
  <c r="I7"/>
  <c r="H7"/>
  <c r="O7" s="1"/>
  <c r="N7" s="1"/>
  <c r="M6"/>
  <c r="L6"/>
  <c r="K6"/>
  <c r="J6"/>
  <c r="I6"/>
  <c r="H6"/>
  <c r="O6" s="1"/>
  <c r="N6" s="1"/>
  <c r="M5"/>
  <c r="L5"/>
  <c r="K5"/>
  <c r="J5"/>
  <c r="I5"/>
  <c r="H5"/>
  <c r="M4"/>
  <c r="L4"/>
  <c r="L470" s="1"/>
  <c r="K4"/>
  <c r="J4"/>
  <c r="J470" s="1"/>
  <c r="I4"/>
  <c r="H4"/>
  <c r="H470" s="1"/>
  <c r="O4" l="1"/>
  <c r="N4" s="1"/>
  <c r="I470"/>
  <c r="K470"/>
  <c r="M470"/>
  <c r="O5"/>
  <c r="N5" s="1"/>
  <c r="O9"/>
  <c r="N9" s="1"/>
  <c r="O13"/>
  <c r="N13" s="1"/>
  <c r="O17"/>
  <c r="N17" s="1"/>
  <c r="O21"/>
  <c r="N21" s="1"/>
  <c r="O25"/>
  <c r="N25" s="1"/>
  <c r="O29"/>
  <c r="N29" s="1"/>
  <c r="O33"/>
  <c r="N33" s="1"/>
  <c r="O37"/>
  <c r="N37" s="1"/>
  <c r="O41"/>
  <c r="N41" s="1"/>
  <c r="O45"/>
  <c r="N45" s="1"/>
  <c r="O49"/>
  <c r="N49" s="1"/>
  <c r="O53"/>
  <c r="N53" s="1"/>
  <c r="O57"/>
  <c r="N57" s="1"/>
  <c r="O61"/>
  <c r="N61" s="1"/>
  <c r="O65"/>
  <c r="N65" s="1"/>
  <c r="O69"/>
  <c r="O73"/>
  <c r="O77"/>
  <c r="O81"/>
  <c r="N81" s="1"/>
  <c r="O85"/>
  <c r="O89"/>
  <c r="O93"/>
  <c r="O97"/>
  <c r="N97" s="1"/>
  <c r="O101"/>
  <c r="O105"/>
  <c r="O109"/>
  <c r="O113"/>
  <c r="N113" s="1"/>
  <c r="O117"/>
  <c r="N117" s="1"/>
  <c r="O121"/>
  <c r="N121" s="1"/>
  <c r="O125"/>
  <c r="N125" s="1"/>
  <c r="O129"/>
  <c r="N129" s="1"/>
  <c r="O133"/>
  <c r="O137"/>
  <c r="N137" s="1"/>
  <c r="O141"/>
  <c r="O145"/>
  <c r="N145" s="1"/>
  <c r="O149"/>
  <c r="N149" s="1"/>
  <c r="O153"/>
  <c r="O157"/>
  <c r="O161"/>
  <c r="N161" s="1"/>
  <c r="O165"/>
  <c r="N165" s="1"/>
  <c r="O169"/>
  <c r="N169" s="1"/>
  <c r="O173"/>
  <c r="N173" s="1"/>
  <c r="O177"/>
  <c r="O181"/>
  <c r="O185"/>
  <c r="N185" s="1"/>
  <c r="O189"/>
  <c r="N189" s="1"/>
  <c r="O193"/>
  <c r="N193" s="1"/>
  <c r="O197"/>
  <c r="N197" s="1"/>
  <c r="O201"/>
  <c r="N201" s="1"/>
  <c r="O205"/>
  <c r="O209"/>
  <c r="O213"/>
  <c r="N213" s="1"/>
  <c r="O217"/>
  <c r="N217" s="1"/>
  <c r="O221"/>
  <c r="N221" s="1"/>
  <c r="O225"/>
  <c r="N225" s="1"/>
  <c r="O229"/>
  <c r="N229" s="1"/>
  <c r="O233"/>
  <c r="N233" s="1"/>
  <c r="O237"/>
  <c r="O241"/>
  <c r="N241" s="1"/>
  <c r="O245"/>
  <c r="O249"/>
  <c r="O253"/>
  <c r="O257"/>
  <c r="O261"/>
  <c r="O265"/>
  <c r="O269"/>
  <c r="O273"/>
  <c r="N273" s="1"/>
  <c r="O277"/>
  <c r="O281"/>
  <c r="O285"/>
  <c r="O289"/>
  <c r="O293"/>
  <c r="N293" s="1"/>
  <c r="O297"/>
  <c r="N297" s="1"/>
  <c r="O301"/>
  <c r="O305"/>
  <c r="N305" s="1"/>
  <c r="O309"/>
  <c r="O313"/>
  <c r="N313" s="1"/>
  <c r="O470" l="1"/>
</calcChain>
</file>

<file path=xl/sharedStrings.xml><?xml version="1.0" encoding="utf-8"?>
<sst xmlns="http://schemas.openxmlformats.org/spreadsheetml/2006/main" count="1416" uniqueCount="1124">
  <si>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</si>
  <si>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</si>
  <si>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</si>
  <si>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</si>
  <si>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</si>
  <si>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</si>
  <si>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</si>
  <si>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</si>
  <si>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</si>
  <si>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</si>
  <si>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</si>
  <si>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</si>
  <si>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</si>
  <si>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</si>
  <si>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1.1.1.1</t>
  </si>
  <si>
    <t>Усиление фундаментов цементацией</t>
  </si>
  <si>
    <t>100 м3 фундамента</t>
  </si>
  <si>
    <t>1.1.1.4</t>
  </si>
  <si>
    <t>Устранение повреждений железобетонных фундаментов</t>
  </si>
  <si>
    <t>м3</t>
  </si>
  <si>
    <t>1.1.8</t>
  </si>
  <si>
    <t>Восстановление (ремонт)  решеток на  продухах  фундамента</t>
  </si>
  <si>
    <t>100 решеток</t>
  </si>
  <si>
    <t>1.1.9</t>
  </si>
  <si>
    <t>Восстановление (ремонт)  приямков</t>
  </si>
  <si>
    <t>кв.м. приямка</t>
  </si>
  <si>
    <t>1.1.10</t>
  </si>
  <si>
    <t>Восстановление (ремонт) отмостки</t>
  </si>
  <si>
    <t>100 м2 отмостки</t>
  </si>
  <si>
    <t>1.2.1.1.5.1</t>
  </si>
  <si>
    <t>Ремонт поверхности кирпичных стен с расшивкой швов и толщиной заделки до 1/2 кирпича</t>
  </si>
  <si>
    <t>100 м2 отремонтированной поверхности</t>
  </si>
  <si>
    <t>1.2.1.1.5.9</t>
  </si>
  <si>
    <t>Укрепление слабодержащихся кирпичей</t>
  </si>
  <si>
    <t>100 м2  отремонтированной поверхности</t>
  </si>
  <si>
    <t>1.2.1.2.1.1</t>
  </si>
  <si>
    <t>Заделка отверстий в бетонных и железобетонных стенах и перегородках с площадью отверстий до 0,1 кв.м и глубиной до 100 мм</t>
  </si>
  <si>
    <t>100 отверстий</t>
  </si>
  <si>
    <t>1.2.1.2.1.2</t>
  </si>
  <si>
    <t>Заделка отверстий в бетонных и железобетонных стенах и перегородках с площадью отверстий до 0,1 кв.м и глубиной до 150 мм</t>
  </si>
  <si>
    <t>1.2.1.2.1.3</t>
  </si>
  <si>
    <t>Заделка отверстий в бетонных и железобетонных стенах и перегородках с площадью отверстий до 0,2 кв.м и глубиной до 100 мм</t>
  </si>
  <si>
    <t>1.2.1.2.1.4</t>
  </si>
  <si>
    <t>Заделка отверстий в бетонных и железобетонных стенах и перегородках с площадью отверстий до 0,2 кв.м и глубиной до 150 мм</t>
  </si>
  <si>
    <t>1.2.9.4.3</t>
  </si>
  <si>
    <t>Ремонт обыкновенной штукатурки  фасадов каменных стен с прорезкой рустов</t>
  </si>
  <si>
    <t>1.2.12.1.1</t>
  </si>
  <si>
    <t>Известковое окрашивание оштукатуренных гладких фасадов</t>
  </si>
  <si>
    <t>100 м2 обработанной поверхности</t>
  </si>
  <si>
    <t>1.2.12.4.1</t>
  </si>
  <si>
    <t>Окрашивание гладких кирпичных фасадов силикатными красками</t>
  </si>
  <si>
    <t>1.2.17.2</t>
  </si>
  <si>
    <t>Известковая окраска ранее окрашенных поверхностей стен</t>
  </si>
  <si>
    <t>100 м2 окрашенной поверхности</t>
  </si>
  <si>
    <t>1.2.17.3.1</t>
  </si>
  <si>
    <t>Простая масляная окраска ранее окрашенных поверхностей</t>
  </si>
  <si>
    <t>1.2.17.3.2</t>
  </si>
  <si>
    <t>Улучшенная масляная окраска ранее окрашенных поверхностей</t>
  </si>
  <si>
    <t>1.2.18.1</t>
  </si>
  <si>
    <t>Ремонт внутренней штукатурки потолков отдельными местами</t>
  </si>
  <si>
    <t>100 кв. м</t>
  </si>
  <si>
    <t>1.2.18.4</t>
  </si>
  <si>
    <t>Простая клеевая окраска потолков</t>
  </si>
  <si>
    <t>1.2.18.5</t>
  </si>
  <si>
    <t>Улучшенная клеевая окраска потолков</t>
  </si>
  <si>
    <t>1.2.18.6</t>
  </si>
  <si>
    <t>Известковая окраска ранее окрашенных поверхностей потолков</t>
  </si>
  <si>
    <t>100 кв.м</t>
  </si>
  <si>
    <t>1.2.18.7</t>
  </si>
  <si>
    <t>Простая масляная окраска ранее окрашенных потолков</t>
  </si>
  <si>
    <t>1.2.18.8</t>
  </si>
  <si>
    <t>Улучшенная масляная окраска ранее окрашенных потолков</t>
  </si>
  <si>
    <t>1.2.19</t>
  </si>
  <si>
    <t>Установка групповых металлических почтовых ящиков на 6 отделений</t>
  </si>
  <si>
    <t>1 ящик</t>
  </si>
  <si>
    <t>1.4.1.2</t>
  </si>
  <si>
    <t>Восстановление козырьков</t>
  </si>
  <si>
    <t>кв.м.</t>
  </si>
  <si>
    <t>1.4.2</t>
  </si>
  <si>
    <t>Восстановление организованного отвода воды с балконов, лоджий, козырьков и эркеров</t>
  </si>
  <si>
    <t>100 кв.м. фасадов</t>
  </si>
  <si>
    <t>1.4.4.1</t>
  </si>
  <si>
    <t>Восстановление ограждающих решеток</t>
  </si>
  <si>
    <t>1 м. решетки</t>
  </si>
  <si>
    <t>1.4.5.3</t>
  </si>
  <si>
    <t>Простая масляная окраска элементов балконов, лоджий, эркеров и козырьков с лестниц</t>
  </si>
  <si>
    <t>100 кв.м.</t>
  </si>
  <si>
    <t>1.6.2.1</t>
  </si>
  <si>
    <t>Ремонт покрытия полов из керамических плиток до 10 шт. размерами 300 мм*300 мм</t>
  </si>
  <si>
    <t>10 плиток</t>
  </si>
  <si>
    <t>1.6.2.2</t>
  </si>
  <si>
    <t>Ремонт покрытия полов из линолеума</t>
  </si>
  <si>
    <t>м2 отремонтированного пола</t>
  </si>
  <si>
    <t>1.6.4.4</t>
  </si>
  <si>
    <t>Ремонт бетонных полов</t>
  </si>
  <si>
    <t>1.6.4.5</t>
  </si>
  <si>
    <t>Ремонт поверхности цементных полов</t>
  </si>
  <si>
    <t>1.6.4.6</t>
  </si>
  <si>
    <t>Выравнивание поверхности бетонных и цементных оснований под полы</t>
  </si>
  <si>
    <t>100 м2</t>
  </si>
  <si>
    <t>1.7.5.1</t>
  </si>
  <si>
    <t>Восстановление облицовки перегородок из керамических плиток со сменой плиток в одном месте до 10 штук</t>
  </si>
  <si>
    <t>100 плиток</t>
  </si>
  <si>
    <t>1.7.5.2</t>
  </si>
  <si>
    <t>Восстановление облицовки перегородок из керамических плиток со сменой плиток в одном месте более 10 штук</t>
  </si>
  <si>
    <t>1.7.5.5</t>
  </si>
  <si>
    <t>Восстановление (ремонт) штукатурки кирпичных, железобетонных и гипсокартонных перегородок известковым раствором площадью отдельных мест до 1 кв.м.</t>
  </si>
  <si>
    <t>1.8.1.1.1</t>
  </si>
  <si>
    <t>Смена поврежденных листов асбоцементных кровель</t>
  </si>
  <si>
    <t>100 м2 сменяемого покрытия</t>
  </si>
  <si>
    <t>1.8.1.2.1</t>
  </si>
  <si>
    <t>Постановка заплат на покрытия из кровельной стали, при размере заплат 1/4 листа</t>
  </si>
  <si>
    <t>100 заплат</t>
  </si>
  <si>
    <t>1.8.1.2.2</t>
  </si>
  <si>
    <t>Постановка заплат на покрытия из кровельной стали, при размере заплат 1/2 листа</t>
  </si>
  <si>
    <t>1.8.1.2.4</t>
  </si>
  <si>
    <t>Промазка свищей в покрытии из кровельной стали</t>
  </si>
  <si>
    <t>1000 свищей</t>
  </si>
  <si>
    <t>1.8.1.3.1</t>
  </si>
  <si>
    <t>Постановка заплат на покрытия из мягкой кровли</t>
  </si>
  <si>
    <t>100 м2 покрытий</t>
  </si>
  <si>
    <t>1.8.6.1</t>
  </si>
  <si>
    <t>Смена вентиляционной решетки</t>
  </si>
  <si>
    <t>10 решеток</t>
  </si>
  <si>
    <t>1.8.6.2</t>
  </si>
  <si>
    <t>Ремонт продухов вентиляции</t>
  </si>
  <si>
    <t>1.8.6.3</t>
  </si>
  <si>
    <t>Окраска продухов вентиляции</t>
  </si>
  <si>
    <t>1.8.7.6</t>
  </si>
  <si>
    <t>Оштукатуривание поверхности дымовых труб</t>
  </si>
  <si>
    <t xml:space="preserve">100 м2 поверхности </t>
  </si>
  <si>
    <t>1.8.8.1</t>
  </si>
  <si>
    <t>Смена  дефлектора</t>
  </si>
  <si>
    <t>100 дефлекторов</t>
  </si>
  <si>
    <t>1.8.8.2</t>
  </si>
  <si>
    <t>Окрашивание дефлектора спецсоставом с алюминиевой пудрой</t>
  </si>
  <si>
    <t>100  м2 окрашиваемой поверхности</t>
  </si>
  <si>
    <t>1.8.9.1</t>
  </si>
  <si>
    <t>Окраска масляными составами ранее окрашенных металлических лестниц и дверей на крышу за 1 раз</t>
  </si>
  <si>
    <t>1.8.9.2</t>
  </si>
  <si>
    <t>Окраска деревянных лестниц и  дверей выхода на крышу</t>
  </si>
  <si>
    <t>1.8.9.3</t>
  </si>
  <si>
    <t>1.8.9.4</t>
  </si>
  <si>
    <t>Ремонт обыкновенной штукатурки гладких каменных фасадов отдельными местами</t>
  </si>
  <si>
    <t>1.8.10.1</t>
  </si>
  <si>
    <t>Смена покрытия  парапетов или брандмауэров без обделки боковых сторон при ширине покрытия до 1 м</t>
  </si>
  <si>
    <t>100 м</t>
  </si>
  <si>
    <t>1.8.10.2</t>
  </si>
  <si>
    <t>Смена покрытия  парапетов или брандмауэров с обделкой боковых сторон при ширине покрытия до 1,75 м.</t>
  </si>
  <si>
    <t>1.8.10.3</t>
  </si>
  <si>
    <t>Смена покрытия   зонтов и козырьков над крыльцами и подъездами</t>
  </si>
  <si>
    <t>100 м2 объема работ</t>
  </si>
  <si>
    <t>1.8.10.5</t>
  </si>
  <si>
    <t>Масляная окраска  парапетов, архитектурных деталей</t>
  </si>
  <si>
    <t>1.8.11.1</t>
  </si>
  <si>
    <t>Ремонт водосточных труб с земли и подмостей</t>
  </si>
  <si>
    <t>100 м трубы</t>
  </si>
  <si>
    <t>1.8.11.2</t>
  </si>
  <si>
    <t>Ремонт водосточных труб с люлек</t>
  </si>
  <si>
    <t>1.8.11.3</t>
  </si>
  <si>
    <t>Смена прямых звеньев водосточных труб</t>
  </si>
  <si>
    <t>1.8.11.4</t>
  </si>
  <si>
    <t>Смена воронок</t>
  </si>
  <si>
    <t>100 шт.</t>
  </si>
  <si>
    <t>1.8.11.8</t>
  </si>
  <si>
    <t>Масляная окраска  водосточных труб</t>
  </si>
  <si>
    <t>1.8.12.1</t>
  </si>
  <si>
    <t>Смена обделок примыканий из листовой стали к каменным стенам</t>
  </si>
  <si>
    <t>1.8.12.3</t>
  </si>
  <si>
    <t>Смена обделок примыканий из листовой стали к  дымовым трубам</t>
  </si>
  <si>
    <t>100 труб</t>
  </si>
  <si>
    <t>1.8.12.4</t>
  </si>
  <si>
    <t>Смена обделок примыканий из листовой стали к  вытяжным  трубам длиной до 1 м</t>
  </si>
  <si>
    <t>1.8.13.1</t>
  </si>
  <si>
    <t>Масляная окраска ранее окрашенных поверхностей</t>
  </si>
  <si>
    <t>1.8.13.3</t>
  </si>
  <si>
    <t>Замена обивки дверей стальным листом</t>
  </si>
  <si>
    <t>100  м2 двери</t>
  </si>
  <si>
    <t>1.9.1.4</t>
  </si>
  <si>
    <t>Ремонт дверных коробок в узких каменных стенах</t>
  </si>
  <si>
    <t>10 коробок</t>
  </si>
  <si>
    <t>1.9.1.6</t>
  </si>
  <si>
    <t>Ремонт дверных коробок в широких каменных стенах</t>
  </si>
  <si>
    <t>1.9.1.8</t>
  </si>
  <si>
    <t>Ремонт порогов шириной 100 мм</t>
  </si>
  <si>
    <t>100 отремонтированных мест</t>
  </si>
  <si>
    <t>1.9.1.9</t>
  </si>
  <si>
    <t>Ремонт порогов шириной 150 мм</t>
  </si>
  <si>
    <t>1.9.1.10</t>
  </si>
  <si>
    <t>Смена дверных петель при одной сменяемой петле в полотне</t>
  </si>
  <si>
    <t>10 петель</t>
  </si>
  <si>
    <t>1.9.1.11</t>
  </si>
  <si>
    <t>Смена дверных петель при двух сменяемых петлях в полотне</t>
  </si>
  <si>
    <t>1.9.1.12</t>
  </si>
  <si>
    <t>Смена наличников дверных проемов из мягкой древесины с укреплением гвоздями</t>
  </si>
  <si>
    <t>1 п.м. наличника</t>
  </si>
  <si>
    <t>1.9.1.15</t>
  </si>
  <si>
    <t>Укрепление наличников дверных проемов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</si>
  <si>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</si>
  <si>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</si>
  <si>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</si>
  <si>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</si>
  <si>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</si>
  <si>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</si>
  <si>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1.9.1.18</t>
  </si>
  <si>
    <t>Смена щеколды</t>
  </si>
  <si>
    <t>100 щеколд</t>
  </si>
  <si>
    <t>1.9.1.19</t>
  </si>
  <si>
    <t>Смена замков накладных</t>
  </si>
  <si>
    <t>100 замков</t>
  </si>
  <si>
    <t>1.9.1.20</t>
  </si>
  <si>
    <t>Смена замков врезных</t>
  </si>
  <si>
    <t>1.9.1.21</t>
  </si>
  <si>
    <t>Восстановление (модернизация) остекления дверей</t>
  </si>
  <si>
    <t>1.9.1.22</t>
  </si>
  <si>
    <t>Простая масляная окраска дверей</t>
  </si>
  <si>
    <t>1.9.1.23</t>
  </si>
  <si>
    <t>Улучшенная масляная окраска дверей</t>
  </si>
  <si>
    <t>1.9.1.24</t>
  </si>
  <si>
    <t>Установка дверного доводчика к металлическим дверям</t>
  </si>
  <si>
    <t>1 доводчик</t>
  </si>
  <si>
    <t>1.9.1.26</t>
  </si>
  <si>
    <t>Установка дверей и заслонок в проемах подвальных и чердачных помещений</t>
  </si>
  <si>
    <t>1 полотно</t>
  </si>
  <si>
    <t>1.9.2.5</t>
  </si>
  <si>
    <t>Ремонт оконных переплетов узких одинарных коробок со спаренными переплетами</t>
  </si>
  <si>
    <t>10 створок</t>
  </si>
  <si>
    <t>1.9.2.6</t>
  </si>
  <si>
    <t>Ремонт оконных переплетов широких составных коробок</t>
  </si>
  <si>
    <t>1.9.2.8</t>
  </si>
  <si>
    <t>Ремонт форточек</t>
  </si>
  <si>
    <t>10 форточек</t>
  </si>
  <si>
    <t>1.9.2.9</t>
  </si>
  <si>
    <t>Ремонт подоконных досок</t>
  </si>
  <si>
    <t>1 м подоконной доски</t>
  </si>
  <si>
    <t>1.9.2.10</t>
  </si>
  <si>
    <t>Смена оконных петель при одной сменяемой петле в створке</t>
  </si>
  <si>
    <t>1.9.2.11</t>
  </si>
  <si>
    <t>Смена оконных петель при двух сменяемых петлях в створке</t>
  </si>
  <si>
    <t>1.9.2.15</t>
  </si>
  <si>
    <t>Укрепление наличников оконных проемов</t>
  </si>
  <si>
    <t>1.9.2.22</t>
  </si>
  <si>
    <t>Временная замена разбитого стекла фанерой</t>
  </si>
  <si>
    <t>10 кв.м.</t>
  </si>
  <si>
    <t>1.9.2.23</t>
  </si>
  <si>
    <t>Смена ручки оконной</t>
  </si>
  <si>
    <t>100 ручек</t>
  </si>
  <si>
    <t>1.9.2.24</t>
  </si>
  <si>
    <t>Смена задвижки</t>
  </si>
  <si>
    <t>100 задвижек</t>
  </si>
  <si>
    <t>1.9.2.25</t>
  </si>
  <si>
    <t>Простая масляная окраска оконных рам</t>
  </si>
  <si>
    <t>1.9.2.26</t>
  </si>
  <si>
    <t>Улучшенная масляная окраска оконных рам</t>
  </si>
  <si>
    <t>1.9.2.27</t>
  </si>
  <si>
    <t>Установка водоотливов с высотой проемов до 1 м</t>
  </si>
  <si>
    <t>100 кв.м. проемов</t>
  </si>
  <si>
    <t>1.9.2.28</t>
  </si>
  <si>
    <t>Установка водоотливов с высотой проемов 1-2 м</t>
  </si>
  <si>
    <t>1.9.2.30</t>
  </si>
  <si>
    <t>Замена негодных деревянных жалюзей слуховых окон с изготовлением их</t>
  </si>
  <si>
    <t>1 штука</t>
  </si>
  <si>
    <t>1.9.2.31</t>
  </si>
  <si>
    <t>Малый ремонт слухового окна с исправлением обшивки и переплета</t>
  </si>
  <si>
    <t>1 место</t>
  </si>
  <si>
    <t>1.9.3.1</t>
  </si>
  <si>
    <t>Замена одностворных дверей на врезных шпонках</t>
  </si>
  <si>
    <t>1.9.3.2</t>
  </si>
  <si>
    <t>Замена двустворных дверей на врезных шпонках</t>
  </si>
  <si>
    <t>1.9.3.3</t>
  </si>
  <si>
    <t>Замена одностворных дверей на планках</t>
  </si>
  <si>
    <t>1.9.3.4</t>
  </si>
  <si>
    <t>Замена двустворных дверей на планках</t>
  </si>
  <si>
    <t>1.9.4.1</t>
  </si>
  <si>
    <t>Смена створок оконных переплетов узких одинарных коробок</t>
  </si>
  <si>
    <t>1 створка</t>
  </si>
  <si>
    <t>1.9.4.2</t>
  </si>
  <si>
    <t>Смена створок оконных переплетов узких одинарных коробок со спаренными переплетами</t>
  </si>
  <si>
    <t>1.9.4.3</t>
  </si>
  <si>
    <t>Смена створок оконных переплетов широких составных коробок</t>
  </si>
  <si>
    <t>1.9.4.4</t>
  </si>
  <si>
    <t>Установка в жилых зданиях блоков оконных с переплетами спаренными в стенах деревянных рубленых площадью проема до 2 кв.м.</t>
  </si>
  <si>
    <t>100 м2 проемов</t>
  </si>
  <si>
    <t>1.9.5.1</t>
  </si>
  <si>
    <t>Обивка дверей теплоизолирующим материалом</t>
  </si>
  <si>
    <t>100 кв.м. двери</t>
  </si>
  <si>
    <t>1.9.5.2</t>
  </si>
  <si>
    <t>Проконопачивание и укрепление дверных коробок</t>
  </si>
  <si>
    <t>100 коробок</t>
  </si>
  <si>
    <t>1.9.5.3</t>
  </si>
  <si>
    <t>Обивка дверей оцинкованной кровельной сталью</t>
  </si>
  <si>
    <t>1.9.6.1</t>
  </si>
  <si>
    <t>Восстановление (ремонт) дверных и оконных откосов в каменных стенах</t>
  </si>
  <si>
    <t>1 кв.м. откоса</t>
  </si>
  <si>
    <t>1.9.6.2</t>
  </si>
  <si>
    <t>Восстановление (ремонт) штукатурки откосов каменных, блочных и крупнопанельных домов внутри здания</t>
  </si>
  <si>
    <t>100 кв.м. откосов</t>
  </si>
  <si>
    <t>1.10.1.1</t>
  </si>
  <si>
    <t>Ремонт металлических косоуров  с применением дуговой сварки</t>
  </si>
  <si>
    <t>1 балка</t>
  </si>
  <si>
    <t>1.10.1.2</t>
  </si>
  <si>
    <t>Оштукатуривание металлических косоуров</t>
  </si>
  <si>
    <t>100 м2 оштукатуренной поверхности</t>
  </si>
  <si>
    <t>1.10.3.1</t>
  </si>
  <si>
    <t>Ремонт металлических лестничных решеток</t>
  </si>
  <si>
    <t>100 м решетки</t>
  </si>
  <si>
    <t>1.10.3.2</t>
  </si>
  <si>
    <t>Укрепление стоек металлических решеток ограждения  лестниц и площадок</t>
  </si>
  <si>
    <t>100 укрепляемых  стоек</t>
  </si>
  <si>
    <t>1.10.4.1.1</t>
  </si>
  <si>
    <t>Смена прямых  частей поручней</t>
  </si>
  <si>
    <t>1.10.4.1.2</t>
  </si>
  <si>
    <t>Смена закругленных  частей поручней</t>
  </si>
  <si>
    <t>1.10.4.2</t>
  </si>
  <si>
    <t>Изготовление прямых частей  поручня</t>
  </si>
  <si>
    <t>1.10.4.3</t>
  </si>
  <si>
    <t>Изготовление  закруглений с марша на марш</t>
  </si>
  <si>
    <t>1.10.4.4</t>
  </si>
  <si>
    <t>Изготовление  закруглений с марша на площадку</t>
  </si>
  <si>
    <t>1.10.4.5</t>
  </si>
  <si>
    <t>Постановка заделок в тело поручней</t>
  </si>
  <si>
    <t>100 заделок</t>
  </si>
  <si>
    <t>1.10.5.1</t>
  </si>
  <si>
    <t>Окраска масляными составами ранее окрашенных металлических решеток  без рельефа за 1 раз</t>
  </si>
  <si>
    <t xml:space="preserve"> 100 м2 окрашиваемой поверхности</t>
  </si>
  <si>
    <t>1.10.5.2</t>
  </si>
  <si>
    <t>Окраска масляными составами ранее окрашенных металлических решеток без рельефа за 2 раза</t>
  </si>
  <si>
    <t>1.10.6.1</t>
  </si>
  <si>
    <t>Заделка трещин и мелких выбоин</t>
  </si>
  <si>
    <t>100 мест</t>
  </si>
  <si>
    <t>1.10.6.2</t>
  </si>
  <si>
    <t>Заделка отбитых мест</t>
  </si>
  <si>
    <t>1.10.7.3</t>
  </si>
  <si>
    <t>Заделка выбоин в каменных ступенях</t>
  </si>
  <si>
    <t>100 м2 заделанной поверхности</t>
  </si>
  <si>
    <t>2.1.1.1</t>
  </si>
  <si>
    <t>Ремонт стального водогрейного котла мощностью до 0,55 Гкал/ч</t>
  </si>
  <si>
    <t>котел</t>
  </si>
  <si>
    <t>2.1.1.2</t>
  </si>
  <si>
    <t>Замена горелок</t>
  </si>
  <si>
    <t>2.1.1.5</t>
  </si>
  <si>
    <t>Прочистка секций котла</t>
  </si>
  <si>
    <t>2.1.2.2.1</t>
  </si>
  <si>
    <t>Смена отдельных участков трубопроводов из стальных электросварных труб  диаметром 40 мм</t>
  </si>
  <si>
    <t>100 м трубопровода</t>
  </si>
  <si>
    <t>2.1.2.2.2</t>
  </si>
  <si>
    <t>Смена отдельных участков трубопроводов из стальных электросварных труб   диаметром 50 мм</t>
  </si>
  <si>
    <t>2.1.2.2.3</t>
  </si>
  <si>
    <t>Смена отдельных участков трубопроводов из стальных электросварных труб   диаметром 65 мм</t>
  </si>
  <si>
    <t>2.1.2.2.4</t>
  </si>
  <si>
    <t>Смена отдельных участков трубопроводов из стальных электросварных труб   диаметром  80 мм</t>
  </si>
  <si>
    <t>2.1.2.2.5</t>
  </si>
  <si>
    <t>Смена отдельных участков трубопроводов из стальных электросварных труб диаметром 100 мм</t>
  </si>
  <si>
    <t>2.1.2.2.6</t>
  </si>
  <si>
    <t>Смена отдельных участков трубопроводов из стальных электросварных труб диаметром 125 мм</t>
  </si>
  <si>
    <t>2.1.2.2.7</t>
  </si>
  <si>
    <t>Смена отдельных участков трубопроводов из стальных электросварных труб диаметром 150 мм</t>
  </si>
  <si>
    <t>2.1.2.3.1</t>
  </si>
  <si>
    <t>Модернизация внутридомовых тепловых сетей путем замены на трубопроводы из многослойных металл-полимерных труб при стояковой системе отопления диаметром до 20 мм</t>
  </si>
  <si>
    <t>пог.м.</t>
  </si>
  <si>
    <t>2.1.2.3.2</t>
  </si>
  <si>
    <t>Модернизация внутридомовых тепловых сетей путем замены на трубопроводы из многослойных металл-полимерных труб при стояковой системе отопления диаметром до 25 мм</t>
  </si>
  <si>
    <t>2.1.2.3.3</t>
  </si>
  <si>
    <t>Модернизация внутридомовых тепловых сетей путем замены на трубопроводы из многослойных металл-полимерных труб при стояковой системе отопления диаметром до 32 мм</t>
  </si>
  <si>
    <t>2.1.3.1.2</t>
  </si>
  <si>
    <t>Смена радиаторных блоков, вес радиаторного блока до 80 кг</t>
  </si>
  <si>
    <t>100 радиаторных блоков</t>
  </si>
  <si>
    <t>2.1.3.1.3</t>
  </si>
  <si>
    <t>Смена радиаторных блоков, вес радиаторного блока свыше 80 до 160 кг</t>
  </si>
  <si>
    <t>2.1.3.4.1</t>
  </si>
  <si>
    <t>Добавление секций к алюминиевому радиаторному блоку</t>
  </si>
  <si>
    <t>100 секций</t>
  </si>
  <si>
    <t>2.1.3.4.2</t>
  </si>
  <si>
    <t>Добавление секций к чугунному радиаторному блоку</t>
  </si>
  <si>
    <t>2.1.5.1</t>
  </si>
  <si>
    <t>Утепление трубопровода центрального отопления (водоснабжения)</t>
  </si>
  <si>
    <t>100 м2 утепленного участка</t>
  </si>
  <si>
    <t>2.1.5.3.1</t>
  </si>
  <si>
    <t>Восстановление разрушенной тепловой изоляции шнуром асбестовым</t>
  </si>
  <si>
    <t>100 м2 восстановленного участка</t>
  </si>
  <si>
    <t>2.1.5.3.2</t>
  </si>
  <si>
    <t>Восстановление разрушенной тепловой изоляции шнуром минераловатным</t>
  </si>
  <si>
    <t>2.1.5.3.3</t>
  </si>
  <si>
    <t>Восстановление разрушенной тепловой изоляции минераловатными матами</t>
  </si>
  <si>
    <t>2.1.6.1</t>
  </si>
  <si>
    <t>Ремонт прибора учета</t>
  </si>
  <si>
    <t>прибор</t>
  </si>
  <si>
    <t>2.1.6.2</t>
  </si>
  <si>
    <t>Замена прибора учета</t>
  </si>
  <si>
    <t>2.1.7.1</t>
  </si>
  <si>
    <t>Ремонт элеваторного узла с выходным проходом 50 мм</t>
  </si>
  <si>
    <t>1 узел</t>
  </si>
  <si>
    <t>2.1.7.2</t>
  </si>
  <si>
    <t>Ремонт элеваторного узла с выходным проходом 80 мм</t>
  </si>
  <si>
    <t>узел</t>
  </si>
  <si>
    <t>2.1.7.3</t>
  </si>
  <si>
    <t>Ремонт элеваторного узла с выходным проходом 100 мм</t>
  </si>
  <si>
    <t>2.1.7.4</t>
  </si>
  <si>
    <t>Замена элеватора № 1-5</t>
  </si>
  <si>
    <t>2.1.7.5</t>
  </si>
  <si>
    <t>Замена элеватора № 6-7</t>
  </si>
  <si>
    <t>2.1.8.1</t>
  </si>
  <si>
    <t>Ремонт центробежных насосов</t>
  </si>
  <si>
    <t>насос</t>
  </si>
  <si>
    <t>2.1.8.3.1</t>
  </si>
  <si>
    <t>Ремонт насосов малой мощности, диаметр патрубка 25 мм</t>
  </si>
  <si>
    <t>100 насосов</t>
  </si>
  <si>
    <t>2.1.8.3.2</t>
  </si>
  <si>
    <t>Ремонт насосов малой мощности, диаметр патрубка 40 мм</t>
  </si>
  <si>
    <t>2.1.8.3.3</t>
  </si>
  <si>
    <t>Ремонт насосов малой мощности, диаметр патрубка 50 мм</t>
  </si>
  <si>
    <t>2.1.8.4.1</t>
  </si>
  <si>
    <t>Смена параллельной задвижки,  диаметром до 100 мм</t>
  </si>
  <si>
    <t>2.1.8.4.2</t>
  </si>
  <si>
    <t>Смена параллельной задвижки,  диаметром до 150 мм</t>
  </si>
  <si>
    <t>2.1.8.4.3</t>
  </si>
  <si>
    <t>Смена параллельной задвижки,  диаметром до 200 мм</t>
  </si>
  <si>
    <t>2.1.8.5.1</t>
  </si>
  <si>
    <t>Снятие, прочистка и установка параллельной задвижки диаметром  100 мм</t>
  </si>
  <si>
    <t>2.1.8.5.2</t>
  </si>
  <si>
    <t>Снятие, прочистка и установка параллельной задвижки диаметром  150 мм</t>
  </si>
  <si>
    <t>2.1.8.6.1</t>
  </si>
  <si>
    <t>Смена кранов двойной регулировки диаметром прохода 15 мм</t>
  </si>
  <si>
    <t>100 кранов</t>
  </si>
  <si>
    <t>2.1.8.6.2</t>
  </si>
  <si>
    <t>Смена кранов двойной регулировки диаметром прохода 19 мм</t>
  </si>
  <si>
    <t>2.1.8.6.3</t>
  </si>
  <si>
    <t>Смена кранов двойной регулировки диаметром прохода 32 мм</t>
  </si>
  <si>
    <t>2.1.8.8.1</t>
  </si>
  <si>
    <t>Смена вентиля диаметром до 25 мм</t>
  </si>
  <si>
    <t>100 вентилей</t>
  </si>
  <si>
    <t>2.1.8.8.2</t>
  </si>
  <si>
    <t>Смена вентиля диаметром 25 мм</t>
  </si>
  <si>
    <t>2.1.8.8.3</t>
  </si>
  <si>
    <t>Смена вентиля диаметром свыше 26 до 50  мм</t>
  </si>
  <si>
    <t>2.1.8.9.1</t>
  </si>
  <si>
    <t>Установка кранов для спуска воздуха из системы, диаметр крана 15-20 мм</t>
  </si>
  <si>
    <t>2.1.8.9.2</t>
  </si>
  <si>
    <t>Установка кранов для спуска воздуха из системы, диаметр крана 21-25 мм</t>
  </si>
  <si>
    <t>2.1.9.1.1</t>
  </si>
  <si>
    <t xml:space="preserve">Установка линейных балансировочных вентилей и балансировка системы отопления, диаметром до 20 мм </t>
  </si>
  <si>
    <t>1 прибор</t>
  </si>
  <si>
    <t>2.1.9.1.3</t>
  </si>
  <si>
    <t>Установка линейных балансировочных вентилей и балансировка системы отопления, диаметром до 32 мм</t>
  </si>
  <si>
    <t>2.1.9.1.4</t>
  </si>
  <si>
    <t>Установка линейных балансировочных вентилей и балансировка системы отопления, диаметром до 40 мм</t>
  </si>
  <si>
    <t>2.1.9.1.5</t>
  </si>
  <si>
    <t>Установка линейных балансировочных вентилей и балансировка системы отопления, диаметром до 50 мм</t>
  </si>
  <si>
    <t>2.1.9.2.1</t>
  </si>
  <si>
    <t>Установка прибора учета тепловой энергии, горячей воды, диаметром до 50 мм</t>
  </si>
  <si>
    <t>2.1.9.2.2</t>
  </si>
  <si>
    <t>Установка прибора учета тепловой энергии, горячей воды, диаметром 50-100 мм</t>
  </si>
  <si>
    <t>2.2.1.1.1</t>
  </si>
  <si>
    <t>Смена отдельных участков трубопроводов  водоснабжения из стальных водогазопроводных оцинкованных труб диаметром  15 мм</t>
  </si>
  <si>
    <t>100 м трубопроводов</t>
  </si>
  <si>
    <t>2.2.1.1.2</t>
  </si>
  <si>
    <t>Смена отдельных участков трубопроводов   водоснабжения из стальных водогазопроводных оцинкованных труб диаметром  20 мм</t>
  </si>
  <si>
    <t>2.2.1.1.3</t>
  </si>
  <si>
    <t>Смена отдельных участков трубопроводов водоснабжения из стальных водогазопроводных оцинкованных труб диаметром  25 мм</t>
  </si>
  <si>
    <t>2.2.1.1.4</t>
  </si>
  <si>
    <t>Смена отдельных участков трубопроводов водоснабжения из стальных водогазопроводных оцинкованных труб диаметром 32 мм</t>
  </si>
  <si>
    <t>2.2.1.1.5</t>
  </si>
  <si>
    <t>Смена отдельных участков трубопроводов  водоснабжения из стальных водогазопроводных оцинкованных труб диаметром 40 мм</t>
  </si>
  <si>
    <t>2.2.1.1.6</t>
  </si>
  <si>
    <t>Смена отдельных участков трубопроводов  водоснабжения из стальных водогазопроводных оцинкованных труб диаметром 50 мм</t>
  </si>
  <si>
    <t>2.2.1.1.7</t>
  </si>
  <si>
    <t>Смена отдельных участков трубопроводов  водоснабжения из стальных водогазопроводных оцинкованных труб диаметром 65 мм</t>
  </si>
  <si>
    <t>2.2.1.1.8</t>
  </si>
  <si>
    <t>Смена отдельных участков трубопроводов водоснабжения из стальных водогазопроводных оцинкованных труб диаметром 80 мм</t>
  </si>
  <si>
    <t>2.2.1.2.1</t>
  </si>
  <si>
    <t>Смена отдельных участков трубопроводов водоснабжения из стальных водогазопроводных оцинкованных труб диаметром 40 мм</t>
  </si>
  <si>
    <t>2.2.1.2.2</t>
  </si>
  <si>
    <t>2.2.1.2.3</t>
  </si>
  <si>
    <t>2.2.1.2.4</t>
  </si>
  <si>
    <t>Смена отдельных участков трубопроводов  водоснабжения из стальных водогазопроводных оцинкованных труб диаметром 80 мм</t>
  </si>
  <si>
    <t>2.2.1.3.1</t>
  </si>
  <si>
    <t>Смена отдельных участков трубопроводов  водоснабжения из стальных электросварных труб диаметром 40 мм</t>
  </si>
  <si>
    <t>2.2.1.3.2</t>
  </si>
  <si>
    <t>Смена отдельных участков трубопроводов  водоснабжения из стальных электросварных труб диаметром 50 мм</t>
  </si>
  <si>
    <t>2.2.1.3.3</t>
  </si>
  <si>
    <t>Смена отдельных участков трубопроводов водоснабжения из стальных электросварных труб диаметром 65 мм</t>
  </si>
  <si>
    <t>2.2.1.3.4</t>
  </si>
  <si>
    <t>Смена отдельных участков трубопроводов  водоснабжения из стальных электросварных труб диаметром 80 мм</t>
  </si>
  <si>
    <t>2.2.1.5.1</t>
  </si>
  <si>
    <t>Замена внутренних водопроводов из стальных труб   на металлопластиковые, диаметром 20 мм</t>
  </si>
  <si>
    <t>2.2.1.5.2</t>
  </si>
  <si>
    <t>Замена внутренних водопроводов из стальных труб   на металлопластиковые, диаметром 25 мм</t>
  </si>
  <si>
    <t>2.2.1.6.1</t>
  </si>
  <si>
    <t>Временная заделка свищей и трещин на внутренних трубопроводах и стояках при диаметре трубопровода до 50 мм</t>
  </si>
  <si>
    <t>2.2.1.6.2</t>
  </si>
  <si>
    <t>Временная заделка свищей и трещин на внутренних трубопроводах и стояках при диаметре трубопровода до 75 мм</t>
  </si>
  <si>
    <t>2.2.1.7.1</t>
  </si>
  <si>
    <t>Смена сгонов у трубопроводов диаметром до 20 мм</t>
  </si>
  <si>
    <t>100 сгонов</t>
  </si>
  <si>
    <t>2.2.1.7.2</t>
  </si>
  <si>
    <t>Смена сгонов у трубопроводов диаметром до 32 мм</t>
  </si>
  <si>
    <t>2.2.1.7.3</t>
  </si>
  <si>
    <t>Смена сгонов у трубопроводов диаметром до 50 мм</t>
  </si>
  <si>
    <t>2.2.1.8.1</t>
  </si>
  <si>
    <t>Уплотнение сгонов с применением льняной пряди или асбестового шнура (без разборки сгонов) диаметром до 20 мм</t>
  </si>
  <si>
    <t>1 сгон</t>
  </si>
  <si>
    <t>2.2.1.8.2</t>
  </si>
  <si>
    <t>Уплотнение сгонов с применением льняной пряди или асбестового шнура (без разборки сгонов) диаметром до 32 мм</t>
  </si>
  <si>
    <t>2.2.1.8.3</t>
  </si>
  <si>
    <t>Уплотнение сгонов с применением льняной пряди или асбестового шнура (без разборки сгонов) диаметром до 50 мм</t>
  </si>
  <si>
    <t>2.2.1.8.4</t>
  </si>
  <si>
    <t>Уплотнение сгонов с применением ленты ФУМ (без разборки сгонов) диаметром до 50 мм</t>
  </si>
  <si>
    <t>2.2.3.8.1</t>
  </si>
  <si>
    <t>Гидравлическое испытание теплообменника (водонагревателя)  поверхностью нагрева  до 16 кв.м</t>
  </si>
  <si>
    <t>1 теплообменник (бойлер)</t>
  </si>
  <si>
    <t>2.2.4</t>
  </si>
  <si>
    <t>Теплоизоляция сетей  горячего  водоснабжения</t>
  </si>
  <si>
    <t>2.2.5.1.1</t>
  </si>
  <si>
    <t>Окраска масляными составами ранее окрашенных поверхностей  стальных труб горячего водоснабжения за 1 раз</t>
  </si>
  <si>
    <t>100 м2 окрашиваемой поверхности</t>
  </si>
  <si>
    <t>2.2.5.1.2</t>
  </si>
  <si>
    <t>Окраска масляными составами ранее окрашенных поверхностей  стальных труб горячего водоснабжения за 2 раза</t>
  </si>
  <si>
    <t>2.2.6.1</t>
  </si>
  <si>
    <t>Смена вентилей и клапанов обратных муфтовых диаметром до 20 мм</t>
  </si>
  <si>
    <t>2.2.6.2</t>
  </si>
  <si>
    <t>Смена вентилей и клапанов обратных муфтовых диаметром до 32  мм</t>
  </si>
  <si>
    <t>2.2.6.3</t>
  </si>
  <si>
    <t>Смена вентилей и клапанов обратных муфтовых диаметром до 50  мм</t>
  </si>
  <si>
    <t>2.2.6.4</t>
  </si>
  <si>
    <t>Смена задвижек диаметром до 50 мм</t>
  </si>
  <si>
    <t>2.2.6.5</t>
  </si>
  <si>
    <t>Смена задвижек диаметром до 100 мм</t>
  </si>
  <si>
    <t>2.2.6.6</t>
  </si>
  <si>
    <t>Смена задвижек диаметром до 150 мм</t>
  </si>
  <si>
    <t>2.2.6.7</t>
  </si>
  <si>
    <t>Замена внутренних пожарных кранов</t>
  </si>
  <si>
    <t>2.3.1.1</t>
  </si>
  <si>
    <t>Смена горизонтальных участков трубопроводов канализации из полиэтиленовых труб высокой плотности диаметром 50 мм</t>
  </si>
  <si>
    <t>2.3.1.2</t>
  </si>
  <si>
    <t>Смена горизонтальных участков трубопроводов канализации из полиэтиленовых труб высокой плотности диаметром 100 мм</t>
  </si>
  <si>
    <t>2.3.1.3</t>
  </si>
  <si>
    <t>Смена вертикальных участков трубопроводов канализации из полиэтиленовых труб высокой плотности диаметром 50 мм</t>
  </si>
  <si>
    <t>2.3.1.4</t>
  </si>
  <si>
    <t>Смена вертикальных участков трубопроводов канализации из полиэтиленовых труб высокой плотности диаметром 100 мм</t>
  </si>
  <si>
    <t>2.3.1.5</t>
  </si>
  <si>
    <t>Смена вертикальных участков трубопроводов канализации из полиэтиленовых труб высокой плотности диаметром 150 мм</t>
  </si>
  <si>
    <t>2.3.2.1</t>
  </si>
  <si>
    <t>Смена отдельных участков  чугунных труб и внутренних чугунных канализационных выпусков при диаметре канализационного выпуска 50 мм</t>
  </si>
  <si>
    <t>2.3.2.2</t>
  </si>
  <si>
    <t>Смена отдельных участков чугунных труб и  внутренних чугунных канализационных выпусков при диаметре канализационного выпуска 100 мм</t>
  </si>
  <si>
    <t>2.3.2.3</t>
  </si>
  <si>
    <t>Смена отдельных участков чугунных труб и внутренних чугунных канализационных выпусков при диаметре канализационного выпуска 150 мм</t>
  </si>
  <si>
    <t>2.3.3.3.1</t>
  </si>
  <si>
    <t>Подчеканка раструбов чугунных  канализационных труб диаметром до 50 мм</t>
  </si>
  <si>
    <t>100  раструбов</t>
  </si>
  <si>
    <t>2.3.3.3.2</t>
  </si>
  <si>
    <t>Подчеканка раструбов чугунных  канализационных труб диаметром до 75 мм</t>
  </si>
  <si>
    <t>2.3.3.3.3</t>
  </si>
  <si>
    <t>Подчеканка раструбов  чугунных  канализационных труб диаметром до 100 мм</t>
  </si>
  <si>
    <t>2.3.3.3.4</t>
  </si>
  <si>
    <t>Подчеканка раструбов  чугунных  канализационных труб диаметром до 125 мм</t>
  </si>
  <si>
    <t>2.3.4</t>
  </si>
  <si>
    <t>Устранение засоров внутренних канализационных трубопроводов</t>
  </si>
  <si>
    <t>2.3.5</t>
  </si>
  <si>
    <t>Заделка стыков соединений стояков внутренних водостоков</t>
  </si>
  <si>
    <t>100 соединений</t>
  </si>
  <si>
    <t>2.3.6.1</t>
  </si>
  <si>
    <t>Смена трапа чугунного диаметром 50 мм</t>
  </si>
  <si>
    <t>100 трапов</t>
  </si>
  <si>
    <t>2.3.6.2</t>
  </si>
  <si>
    <t>Смена трапа чугунного диаметром 100 мм</t>
  </si>
  <si>
    <t>2.3.7</t>
  </si>
  <si>
    <t>Набивка сальников компенсационных патрубков на стояках внутренних водостоков</t>
  </si>
  <si>
    <t>100 патрубков</t>
  </si>
  <si>
    <t>2.3.8.1</t>
  </si>
  <si>
    <t>Очистка стальной щеткой старых чугунных труб и фасонных частей от нароста и грязи при диаметре трубопровода до 50 мм</t>
  </si>
  <si>
    <t>1 м трубопровода</t>
  </si>
  <si>
    <t>2.3.8.2</t>
  </si>
  <si>
    <t>Очистка стальной щеткой старых чугунных труб и фасонных частей от нароста и грязи при диаметре трубопровода до 75 мм</t>
  </si>
  <si>
    <t>2.3.8.3</t>
  </si>
  <si>
    <t>Очистка стальной щеткой старых чугунных труб и фасонных частей от нароста и грязи при диаметре трубопровода до 100 мм</t>
  </si>
  <si>
    <t>2.3.9.1</t>
  </si>
  <si>
    <t>Окраска масляными составами ранее окрашенных поверхностей  чугунных труб за 1 раз</t>
  </si>
  <si>
    <t>2.3.9.2</t>
  </si>
  <si>
    <t>Окраска масляными составами ранее окрашенных поверхностей  чугунных труб за 2 раза</t>
  </si>
  <si>
    <t>2.3.9.3</t>
  </si>
  <si>
    <t>Окраска масляными составами элементов трубопровода за 1 раз</t>
  </si>
  <si>
    <t>2.3.9.4</t>
  </si>
  <si>
    <t>Окраска масляными составами элементов трубопровода за 2 раза</t>
  </si>
  <si>
    <t>2.5.1.1</t>
  </si>
  <si>
    <t>Замена пакетных переключателей вводно-распределительных устройств и шкафов</t>
  </si>
  <si>
    <t>1 переключатель</t>
  </si>
  <si>
    <t>2.5.1.2</t>
  </si>
  <si>
    <t>Замена автоматического выключателя</t>
  </si>
  <si>
    <t>1 автоматический выключатель</t>
  </si>
  <si>
    <t>2.5.1.3</t>
  </si>
  <si>
    <t>Замена реле</t>
  </si>
  <si>
    <t>1 реле</t>
  </si>
  <si>
    <t>2.5.1.4</t>
  </si>
  <si>
    <t>Замена предохранителя</t>
  </si>
  <si>
    <t>1 предохранитель</t>
  </si>
  <si>
    <t>2.5.1.5</t>
  </si>
  <si>
    <t>Замена рубильника</t>
  </si>
  <si>
    <t>1 рубильник</t>
  </si>
  <si>
    <t>2.5.1.8</t>
  </si>
  <si>
    <t>Замена магнитного пускателя</t>
  </si>
  <si>
    <t>1 пускатель</t>
  </si>
  <si>
    <t>2.5.1.9</t>
  </si>
  <si>
    <t>Ремонт магнитного пускателя</t>
  </si>
  <si>
    <t>2.5.1.11</t>
  </si>
  <si>
    <t>Замена шкафов и ВРУ</t>
  </si>
  <si>
    <t>1 шкаф</t>
  </si>
  <si>
    <t>2.5.3.2</t>
  </si>
  <si>
    <t>Текущий ремонт электродвигателя</t>
  </si>
  <si>
    <t>1 двигатель</t>
  </si>
  <si>
    <t>2.5.3.4</t>
  </si>
  <si>
    <t>Техническое  обслуживание электрического  запирающего устройства (домофон)</t>
  </si>
  <si>
    <t>1 устройство</t>
  </si>
  <si>
    <t>2.5.3.5</t>
  </si>
  <si>
    <t>Замена электрического запирающего устройства (домофона)</t>
  </si>
  <si>
    <t>2.5.4</t>
  </si>
  <si>
    <t>Ремонт, замена  внутридомовых электрических сетей</t>
  </si>
  <si>
    <t>1000 пог.м.</t>
  </si>
  <si>
    <t>2.5.5.1</t>
  </si>
  <si>
    <t>Замена щитков</t>
  </si>
  <si>
    <t>1 щит</t>
  </si>
  <si>
    <t>2.5.5.2</t>
  </si>
  <si>
    <t>Ремонт щитков</t>
  </si>
  <si>
    <t>2.5.6.8</t>
  </si>
  <si>
    <t>Обслуживание однофазных счетчиков электроэнергии</t>
  </si>
  <si>
    <t>100 счетчиков</t>
  </si>
  <si>
    <t>2.5.6.9</t>
  </si>
  <si>
    <t>Обслуживание трехфазных счетчиков электроэнергии</t>
  </si>
  <si>
    <t>2.5.7.1</t>
  </si>
  <si>
    <t>Замена выключателя</t>
  </si>
  <si>
    <t>1 выключатель</t>
  </si>
  <si>
    <t>2.5.7.2</t>
  </si>
  <si>
    <t>Замена светильника с лампами накаливания или энергосберегающими лампами</t>
  </si>
  <si>
    <t>1 светильник</t>
  </si>
  <si>
    <t>2.5.7.3</t>
  </si>
  <si>
    <t>Замена светильника с люминесцентными лампами</t>
  </si>
  <si>
    <t>2.5.7.4</t>
  </si>
  <si>
    <t>Ремонт светильника с лампами накаливания или энергосберегающими лампами</t>
  </si>
  <si>
    <t>2.5.7.5</t>
  </si>
  <si>
    <t>Ремонт светильника с люминесцентными лампами</t>
  </si>
  <si>
    <t>2.5.7.6</t>
  </si>
  <si>
    <t>Замена лампы накаливания на энергосберегательную</t>
  </si>
  <si>
    <t>1 лампа</t>
  </si>
  <si>
    <t>2.5.7.7</t>
  </si>
  <si>
    <t>Замена люминесцентных ламп</t>
  </si>
  <si>
    <t>100 ламп</t>
  </si>
  <si>
    <t>2.5.9</t>
  </si>
  <si>
    <t>Ремонт штепсельных розеток и выключателей</t>
  </si>
  <si>
    <t>100 розеток (выключателей)</t>
  </si>
  <si>
    <t>2.5.10</t>
  </si>
  <si>
    <t>Смена розеток</t>
  </si>
  <si>
    <t>2.6.1.1</t>
  </si>
  <si>
    <t>Укрепление водосточных труб, колен, воронок с лестниц или подмостей</t>
  </si>
  <si>
    <t>1 ухват</t>
  </si>
  <si>
    <t>2.6.3.1</t>
  </si>
  <si>
    <t>Смена стекол на двойной замазке при размере фальцев 10х15 мм</t>
  </si>
  <si>
    <t>100 м фальца</t>
  </si>
  <si>
    <t>2.6.3.2</t>
  </si>
  <si>
    <t>Смена стекол на двойной замазке при размере фальцев 15х15 мм</t>
  </si>
  <si>
    <t>2.6.3.3</t>
  </si>
  <si>
    <t>Смена стекол на двойной замазке при размере фальцев 15х20 мм</t>
  </si>
  <si>
    <t>2.6.3.4</t>
  </si>
  <si>
    <t>Смена стекол на штапиках по замазке</t>
  </si>
  <si>
    <t>2.6.3.5</t>
  </si>
  <si>
    <t>Смена стекол на штапиках без замазки</t>
  </si>
  <si>
    <t>2.6.4</t>
  </si>
  <si>
    <t>Утепление бойлеров</t>
  </si>
  <si>
    <t xml:space="preserve">  1 м2 утепленного участка</t>
  </si>
  <si>
    <t>2.6.6.1</t>
  </si>
  <si>
    <t>Оштукатуривание продухов</t>
  </si>
  <si>
    <t xml:space="preserve">  1 м2 ремонтируемой поверхности</t>
  </si>
  <si>
    <t>2.6.6.2</t>
  </si>
  <si>
    <t>Перетирка штукатурки поверхностей</t>
  </si>
  <si>
    <t>2.6.6.3</t>
  </si>
  <si>
    <t>Окраска  продухов</t>
  </si>
  <si>
    <t>100 м2 ремонтируемой поверхности</t>
  </si>
  <si>
    <t>2.6.7</t>
  </si>
  <si>
    <t>Ремонт и утепление наружных водоразборных кранов и колонок</t>
  </si>
  <si>
    <t>100 колонок</t>
  </si>
  <si>
    <t>2.6.8.1</t>
  </si>
  <si>
    <t>Осмотр территории вокруг здания и фундамента</t>
  </si>
  <si>
    <t>1000 кв.м. общей площади</t>
  </si>
  <si>
    <t>2.6.8.2</t>
  </si>
  <si>
    <t>Осмотр кирпичных и железобетонных стен, фасадов</t>
  </si>
  <si>
    <t>2.6.8.3</t>
  </si>
  <si>
    <t>Осмотр деревянных стен, перегородок</t>
  </si>
  <si>
    <t>2.6.8.4</t>
  </si>
  <si>
    <t>Осмотр деревянных перекрытий</t>
  </si>
  <si>
    <t>2.6.8.5</t>
  </si>
  <si>
    <t>Осмотр деревянных покрытий, полов</t>
  </si>
  <si>
    <t>1000 кв.м. полов</t>
  </si>
  <si>
    <t>2.6.8.6</t>
  </si>
  <si>
    <t>Осмотр железобетонных перекрытий</t>
  </si>
  <si>
    <t>2.6.8.7</t>
  </si>
  <si>
    <t>Осмотр железобетонных покрытий</t>
  </si>
  <si>
    <t>2.6.8.8</t>
  </si>
  <si>
    <t>Осмотр внутренней отделки стен</t>
  </si>
  <si>
    <t>2.6.8.9</t>
  </si>
  <si>
    <t>Осмотр заполнения дверных и оконных проемов</t>
  </si>
  <si>
    <t>2.6.9.1</t>
  </si>
  <si>
    <t>Осмотр всех элементов стальных кровель, водостоков</t>
  </si>
  <si>
    <t>1000 кв.м. кровли</t>
  </si>
  <si>
    <t>2.6.9.2</t>
  </si>
  <si>
    <t>Осмотр всех элементов рулонных кровель, водостоков</t>
  </si>
  <si>
    <t>2.6.9.3</t>
  </si>
  <si>
    <t>Осмотр всех элементов кровель из штучных материалов, водостоков</t>
  </si>
  <si>
    <t>2.6.10</t>
  </si>
  <si>
    <t>Осмотр системы мусороудаления</t>
  </si>
  <si>
    <t>100 пог.м. мусоропровода</t>
  </si>
  <si>
    <t>2.6.11.1</t>
  </si>
  <si>
    <t>Осмотр водопровода, канализации и горячего водоснабжения</t>
  </si>
  <si>
    <t>100 квартир</t>
  </si>
  <si>
    <t>2.6.11.2</t>
  </si>
  <si>
    <t>Промывка участка водопровода</t>
  </si>
  <si>
    <t>100 куб.м. здания</t>
  </si>
  <si>
    <t>2.6.11.3</t>
  </si>
  <si>
    <t>Прочистка канализационного лежака</t>
  </si>
  <si>
    <t>100 м канализационного лежака</t>
  </si>
  <si>
    <t>2.6.11.4</t>
  </si>
  <si>
    <t>Проверка исправности  канализационных  вытяжек</t>
  </si>
  <si>
    <t>2.6.13.1</t>
  </si>
  <si>
    <t>Осмотр  электросети, арматуры, электрооборудования на лестничных клетках</t>
  </si>
  <si>
    <t>100 лестничных площадок</t>
  </si>
  <si>
    <t>2.6.13.2</t>
  </si>
  <si>
    <t>Осмотр  силовых установок</t>
  </si>
  <si>
    <t>1 электромотор</t>
  </si>
  <si>
    <t>2.6.13.3</t>
  </si>
  <si>
    <t>Проверка изоляции электропроводки и ее укрепление</t>
  </si>
  <si>
    <t>2.6.13.4</t>
  </si>
  <si>
    <t>Проверка заземления оболочки электрокабеля</t>
  </si>
  <si>
    <t>2.6.13.5</t>
  </si>
  <si>
    <t>Замеры сопротивления изоляции проводов</t>
  </si>
  <si>
    <t xml:space="preserve">измерение 1         </t>
  </si>
  <si>
    <t>2.6.14.1.1</t>
  </si>
  <si>
    <t>Осмотр внутриквартирных устройств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</si>
  <si>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</si>
  <si>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</si>
  <si>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</si>
  <si>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</si>
  <si>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</si>
  <si>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</si>
  <si>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2.6.14.3.1</t>
  </si>
  <si>
    <t>Первое рабочее испытание отдельных частей системы при диаметре трубопровода до 50 мм</t>
  </si>
  <si>
    <t>2.6.14.3.2</t>
  </si>
  <si>
    <t>Рабочая проверка системы в целом при диаметре трубопровода до 50 мм</t>
  </si>
  <si>
    <t>2.6.14.3.3</t>
  </si>
  <si>
    <t>Окончательная проверка при сдаче системы при диаметре трубопровода до 50 мм</t>
  </si>
  <si>
    <t>2.6.14.3.10</t>
  </si>
  <si>
    <t>Проверка на прогрев отопительных приборов с регулировкой</t>
  </si>
  <si>
    <t>2.6.14.4.1</t>
  </si>
  <si>
    <t>Промывка трубопроводов системы центрального отопления до 50 мм</t>
  </si>
  <si>
    <t>10 м трубопровода (100 м3 здания)</t>
  </si>
  <si>
    <t>2.6.14.5.1.1</t>
  </si>
  <si>
    <t>Притирка пробочного крана диаметром до 25 мм без снятия с места</t>
  </si>
  <si>
    <t>2.6.14.5.1.2</t>
  </si>
  <si>
    <t>Притирка пробочного крана диаметром 26-32 мм без снятия с места</t>
  </si>
  <si>
    <t>2.6.14.5.1.3</t>
  </si>
  <si>
    <t>Притирка пробочного крана диаметром 33-50 мм без снятия с места</t>
  </si>
  <si>
    <t>2.6.14.5.1.4</t>
  </si>
  <si>
    <t>Притирка клапана вентиля диаметром до 25 мм без снятия с места</t>
  </si>
  <si>
    <t>2.6.14.5.1.5</t>
  </si>
  <si>
    <t>Притирка клапана вентиля диаметром 26-32 мм без снятия с места</t>
  </si>
  <si>
    <t>2.6.14.5.1.6</t>
  </si>
  <si>
    <t>Притирка клапана вентиля диаметром 33-50 мм без снятия с места</t>
  </si>
  <si>
    <t>2.6.14.5.2</t>
  </si>
  <si>
    <t>Укрепление крючков для труб и приборов центрального отопления</t>
  </si>
  <si>
    <t>1 крепление</t>
  </si>
  <si>
    <t>2.6.14.5.3</t>
  </si>
  <si>
    <t>Вывертывание и ввертывание радиаторной пробки</t>
  </si>
  <si>
    <t>100 пробок</t>
  </si>
  <si>
    <t>2.6.14.5.4.1</t>
  </si>
  <si>
    <t>Перегруппировка секций старого радиатора при весе радиатора до 240 кг</t>
  </si>
  <si>
    <t>2.6.14.5.4.2</t>
  </si>
  <si>
    <t>На каждую следующую секцию сверх первой добавлять</t>
  </si>
  <si>
    <t>2.6.14.5.5.1</t>
  </si>
  <si>
    <t>Ликвидация воздушных пробок в стояке системы отопления</t>
  </si>
  <si>
    <t>100 стояков</t>
  </si>
  <si>
    <t>2.6.14.5.5.2</t>
  </si>
  <si>
    <t>Ликвидация воздушных пробок в радиаторном блоке</t>
  </si>
  <si>
    <t>2.6.14.5.6</t>
  </si>
  <si>
    <t>Ремонт кранов регулировки у радиаторных блоков</t>
  </si>
  <si>
    <t>2.6.14.5.7.1</t>
  </si>
  <si>
    <t>Мелкий ремонт изоляции трубопроводов при диаметре 50 мм</t>
  </si>
  <si>
    <t>2.6.14.5.7.2</t>
  </si>
  <si>
    <t>Мелкий ремонт изоляции трубопроводов при диаметре 75 мм</t>
  </si>
  <si>
    <t>2.6.14.5.7.3</t>
  </si>
  <si>
    <t>Мелкий ремонт изоляции трубопроводов при диаметре 100 мм</t>
  </si>
  <si>
    <t>2.6.15.1.1</t>
  </si>
  <si>
    <t>Визуальный осмотр узла учета и проверка наличия и нарушения пломб (прибор учета воды диаметром 25-40 мм)</t>
  </si>
  <si>
    <t>1 прибор учета</t>
  </si>
  <si>
    <t>2.6.15.1.2</t>
  </si>
  <si>
    <t>Снятие и запись показаний с вычислителя в журнал (прибор учета воды диаметром 25-40 мм)</t>
  </si>
  <si>
    <t>2.6.15.1.3</t>
  </si>
  <si>
    <t>Составление акта (при нарушении правил эксплуатации прибора учета воды диаметром 25-40 мм) с представителями абонента и поставщиком</t>
  </si>
  <si>
    <t>2.6.15.1.4</t>
  </si>
  <si>
    <t>Проверка работоспособности запорной арматуры и очистка фильтров (приборов учета воды диаметром 25-40 мм)</t>
  </si>
  <si>
    <t>1 фильтр</t>
  </si>
  <si>
    <t>2.6.15.1.5</t>
  </si>
  <si>
    <t>Установка фильтра для очистки воды (приборов учета воды диаметром 25-40 мм)</t>
  </si>
  <si>
    <t>2.6.15.1.6</t>
  </si>
  <si>
    <t>Запуск воды с общего вентиля к счетчику (приборов учета воды диаметром 25-40 мм)</t>
  </si>
  <si>
    <t>2.6.15.1.7</t>
  </si>
  <si>
    <t>При отказе или неисправной работе прибора учета воды диаметром 25-40 мм - поиск неисправностей</t>
  </si>
  <si>
    <t>2.6.15.1.8</t>
  </si>
  <si>
    <t>Проверка работоспособности водозапорной арматуры приборов учета воды диаметром 25-40 мм</t>
  </si>
  <si>
    <t>2.6.15.3.1</t>
  </si>
  <si>
    <t>Визуальный осмотр и проверка наличия и нарушения пломб (узел учета тепловой энергии диаметром 25-40 мм)</t>
  </si>
  <si>
    <t>1 узел учета</t>
  </si>
  <si>
    <t>2.6.15.3.2</t>
  </si>
  <si>
    <t>Снятие и запись показаний с вычислителя в журнал (узел учета тепловой энергии диаметром 25-40 мм)</t>
  </si>
  <si>
    <t>2.6.15.3.3</t>
  </si>
  <si>
    <t>Составление акта (при нарушении правил эксплуатации прибора) (узел учета тепловой энергии диаметром 25-40 мм)</t>
  </si>
  <si>
    <t>2.6.15.3.4</t>
  </si>
  <si>
    <t>Проверка работоспособности запорной арматуры и очистка фильтра (узел учета тепловой энергии диаметром 25-40 мм)</t>
  </si>
  <si>
    <t>2.6.15.3.5</t>
  </si>
  <si>
    <t>Установка фильтра для очистки теплоносителя (узел учета тепловой энергии диаметром 25-40 мм)</t>
  </si>
  <si>
    <t>2.6.15.3.6</t>
  </si>
  <si>
    <t>Запуск воды с общего вентиля к счетчику (узел учета тепловой энергии диаметром 25-40 мм)</t>
  </si>
  <si>
    <t>2.6.15.3.7</t>
  </si>
  <si>
    <t>При отказе или неисправной работе теплосчетчика - поиск неисправностей (узел учета тепловой энергии диаметром 25-40 мм)</t>
  </si>
  <si>
    <t>2.6.15.3.8.1</t>
  </si>
  <si>
    <t>Проверка работоспособности водозапорной арматуры (выборочная метрологическая поверка теплосчетчиков диаметром 25-40 мм)</t>
  </si>
  <si>
    <t>2.6.15.3.8.2</t>
  </si>
  <si>
    <t>Профилактические работы (выборочная метрологическая поверка теплосчетчиков диаметром 25-40 мм)</t>
  </si>
  <si>
    <t>2.6.15.3.8.4</t>
  </si>
  <si>
    <t>Съем данных с тепловычислителя с помощью переносного компьютера, адаптера (выборочная метрологическая поверка теплосчетчиков диаметром 25-40 мм)</t>
  </si>
  <si>
    <t>2.6.15.3.8.5</t>
  </si>
  <si>
    <t>Обсчет данных, оформление справок, распечатка архивов данных (выборочная метрологическая поверка теплосчетчиков диаметром 25-40 мм)</t>
  </si>
  <si>
    <t>2.6.15.5.1</t>
  </si>
  <si>
    <t>Снятие (демонтаж) прибора учета тепловой энергии, диаметром до 50 мм</t>
  </si>
  <si>
    <t>2.6.15.5.2</t>
  </si>
  <si>
    <t>Установка (монтаж) прибора учета тепловой энергии, диаметром до 50 мм</t>
  </si>
  <si>
    <t>2.7.1.1</t>
  </si>
  <si>
    <t>Устранение аварии на внутридомовых инженерных сетях при сроке эксплуатации многоквартирного дома до 10 лет</t>
  </si>
  <si>
    <t>1000 м2  общей площади жилых помещений, оборудованных газовыми плитами (в год для одной смены)</t>
  </si>
  <si>
    <t>2.7.1.2</t>
  </si>
  <si>
    <t>Устранение аварии на внутридомовых инженерных сетях при сроке эксплуатации многоквартирного дома от 11 до 30  лет</t>
  </si>
  <si>
    <t>2.7.1.3</t>
  </si>
  <si>
    <t>Устранение аварии на внутридомовых инженерных сетях при сроке эксплуатации многоквартирного дома от 31 до 50 лет</t>
  </si>
  <si>
    <t>2.7.1.4</t>
  </si>
  <si>
    <t>Устранение аварии на внутридомовых инженерных сетях при сроке эксплуатации многоквартирного дома от 51 до 70 лет</t>
  </si>
  <si>
    <t>2.7.1.5</t>
  </si>
  <si>
    <t>Устранение аварии на внутридомовых инженерных сетях при сроке эксплуатации многоквартирного дома более 70 лет</t>
  </si>
  <si>
    <t>2.7.2.1</t>
  </si>
  <si>
    <t>1000 м2  общей площади жилых помещений, не оборудованных газовыми плитами (в год для одной смены)</t>
  </si>
  <si>
    <t>2.7.2.2</t>
  </si>
  <si>
    <t>2.7.2.3</t>
  </si>
  <si>
    <t>2.9.1</t>
  </si>
  <si>
    <t>Окраска ковшей мусоропровода</t>
  </si>
  <si>
    <t>2.9.2</t>
  </si>
  <si>
    <t>Замена отдельных элементов загрузочных клапанов</t>
  </si>
  <si>
    <t>1 клапан</t>
  </si>
  <si>
    <t>2.9.3</t>
  </si>
  <si>
    <t>Устранение мелких неисправностей мусоропровода</t>
  </si>
  <si>
    <t>1 м мусоропровода</t>
  </si>
  <si>
    <t>2.9.4</t>
  </si>
  <si>
    <t>Окраска ствола мусоропровода</t>
  </si>
  <si>
    <t>3.1.2.1.1.1</t>
  </si>
  <si>
    <t>Удаление мусора из мусороприемных камер с бункерами, расположенных на 1-ом этаже в домах до  10 этажей</t>
  </si>
  <si>
    <t>1 м3  ТБО</t>
  </si>
  <si>
    <t>3.1.2.1.2.1</t>
  </si>
  <si>
    <t>Влажное подметание пола мусороприемных камер, расположенных на 1-ом этаже,  в домах  до 10 этажей</t>
  </si>
  <si>
    <t xml:space="preserve">100 м2  площади мусороприемных камер  </t>
  </si>
  <si>
    <t>3.1.2.1.2.2</t>
  </si>
  <si>
    <t>Влажное подметание пола мусороприемных камер в 11-ти и более этажных домах или при наличии мусороприемных камер и мусороприемников в подвальных помещениях и цокольных этажах</t>
  </si>
  <si>
    <t>3.1.2.1.3.1</t>
  </si>
  <si>
    <t>Уборка в домах до 10 этажей мусороприемных камер, расположенных на 1-ом этаже,  облицованных кафельной плиткой, без шланга</t>
  </si>
  <si>
    <t>3.1.2.1.3.2</t>
  </si>
  <si>
    <t>Уборка в 11-ти и более этажных домах мусороприемных камер, облицованных кафельной плиткой,  расположенных в подвальных помещениях и цокольных этажах, без шланга</t>
  </si>
  <si>
    <t>3.1.2.3.1</t>
  </si>
  <si>
    <t>Дезинфекция всех элементов ствола мусоропровода с помощью ершей с ручными лебедками</t>
  </si>
  <si>
    <t>100 м мусоропровода</t>
  </si>
  <si>
    <t>3.1.2.3.2</t>
  </si>
  <si>
    <t>Дезинфекция всех элементов ствола мусоропровода вручную</t>
  </si>
  <si>
    <t>3.1.5.1</t>
  </si>
  <si>
    <t>Подметание  чердаков и подвалов без предварительного увлажнения</t>
  </si>
  <si>
    <t>100 м2 чердаков и подвалов</t>
  </si>
  <si>
    <t>3.1.5.2.1</t>
  </si>
  <si>
    <t>Уборка мусора и транспортировкой мусора до 50 м</t>
  </si>
  <si>
    <t>1 м3  мусора</t>
  </si>
  <si>
    <t>3.1.5.2.2</t>
  </si>
  <si>
    <t>Уборка мусора и транспортировкой мусора до 100 м</t>
  </si>
  <si>
    <t>3.1.5.3</t>
  </si>
  <si>
    <t>Очистка чердаков  и подвалов от строительного мусора</t>
  </si>
  <si>
    <t>100 кг строительного мусора</t>
  </si>
  <si>
    <t>3.1.6.1</t>
  </si>
  <si>
    <t>Установка флагов во флагштоки</t>
  </si>
  <si>
    <t>1 флаг</t>
  </si>
  <si>
    <t>3.1.6.2</t>
  </si>
  <si>
    <t>Художественное раскрашивание  фасадов  зданий и площадок</t>
  </si>
  <si>
    <t>100 м2  раскрашиваемой поверхности</t>
  </si>
  <si>
    <t>3.1.6.3</t>
  </si>
  <si>
    <t>Протирка  номерных фонарей</t>
  </si>
  <si>
    <t>10 фонарей</t>
  </si>
  <si>
    <t>3.1.6.4</t>
  </si>
  <si>
    <t>Протирка  номерных указателей</t>
  </si>
  <si>
    <t>10 указателей</t>
  </si>
  <si>
    <t>3.1.8.1.1</t>
  </si>
  <si>
    <t>3.1.8.1.2</t>
  </si>
  <si>
    <t>Известковое окрашивание оштукатуренных  фасадов с рустами  и орнаментированных</t>
  </si>
  <si>
    <t>3.1.8.3.1</t>
  </si>
  <si>
    <t>Окрашивание гладких  кирпичных фасадов известковыми  составами</t>
  </si>
  <si>
    <t>3.1.8.3.2</t>
  </si>
  <si>
    <t>Клеевая окраска гладких  кирпичных фасадов известковыми  составами</t>
  </si>
  <si>
    <t>3.2.1.1</t>
  </si>
  <si>
    <t>Подметание в летний период  земельного участка с усовершенствованным покрытием 1 класса</t>
  </si>
  <si>
    <t>1 000 кв.м. территории</t>
  </si>
  <si>
    <t>3.2.1.2</t>
  </si>
  <si>
    <t>Подметание в летний период  земельного участка с усовершенствованным покрытием 2 класса</t>
  </si>
  <si>
    <t>3.2.1.3</t>
  </si>
  <si>
    <t>Подметание в летний период  земельного участка с усовершенствованным покрытием 3 класса</t>
  </si>
  <si>
    <t>3.2.1.4</t>
  </si>
  <si>
    <t>Подметание в летний период  земельного участка с неусовершенствованным покрытием 1 класса</t>
  </si>
  <si>
    <t>3.2.1.5</t>
  </si>
  <si>
    <t>Подметание в летний период  земельного участка с неусовершенствованным покрытием 2 класса</t>
  </si>
  <si>
    <t>3.2.1.6</t>
  </si>
  <si>
    <t>Подметание в летний период  земельного участка с неусовершенствованным покрытием 3 класса</t>
  </si>
  <si>
    <t>3.2.1.7</t>
  </si>
  <si>
    <t>Подметание в летний период  земельного участка без покрытия 1 класса</t>
  </si>
  <si>
    <t>3.2.1.8</t>
  </si>
  <si>
    <t>Подметание в летний период  земельного участка без покрытия 2 класса</t>
  </si>
  <si>
    <t>3.2.1.9</t>
  </si>
  <si>
    <t>Подметание в летний период  земельного участка без покрытия 3 класса</t>
  </si>
  <si>
    <t>3.2.2.1</t>
  </si>
  <si>
    <t>Полив тротуаров 1 класса</t>
  </si>
  <si>
    <t>100 000 кв.м. территории</t>
  </si>
  <si>
    <t>3.2.2.2</t>
  </si>
  <si>
    <t>Полив тротуаров 2 класса</t>
  </si>
  <si>
    <t>3.2.2.3</t>
  </si>
  <si>
    <t>Полив тротуаров 3 класса</t>
  </si>
  <si>
    <t>3.2.3.1.1</t>
  </si>
  <si>
    <t>Уборка газонов средней засоренности от листьев, сучьев, мусора</t>
  </si>
  <si>
    <t>3.2.3.1.3</t>
  </si>
  <si>
    <t>Уборка газонов от случайного мусора</t>
  </si>
  <si>
    <t>100 000 м2</t>
  </si>
  <si>
    <t>3.2.3.1.4</t>
  </si>
  <si>
    <t>Полив газонов</t>
  </si>
  <si>
    <t>на 100 000 кв.м.</t>
  </si>
  <si>
    <t>3.2.3.1.5</t>
  </si>
  <si>
    <t>Стрижка газонов</t>
  </si>
  <si>
    <t>на 100 кв.м.</t>
  </si>
  <si>
    <t>3.2.3.2.10</t>
  </si>
  <si>
    <t>Очистка опрокидывающихся урн от мусора</t>
  </si>
  <si>
    <t>на 100 урн</t>
  </si>
  <si>
    <t>3.2.4.1</t>
  </si>
  <si>
    <t>Формовочная обрезка деревьев высотой более 5 м</t>
  </si>
  <si>
    <t>100 деревьев</t>
  </si>
  <si>
    <t>3.2.4.2</t>
  </si>
  <si>
    <t>Вырезка сухих ветвей и поросли</t>
  </si>
  <si>
    <t>3.2.4.3</t>
  </si>
  <si>
    <t>Обрезка под естественный вид крон деревьев с использованием вышки</t>
  </si>
  <si>
    <t>3.2.4.4</t>
  </si>
  <si>
    <t>Формирование кроны кустарников</t>
  </si>
  <si>
    <t>1000 кустов</t>
  </si>
  <si>
    <t>3.2.4.5</t>
  </si>
  <si>
    <t>Обрезка под естественный вид крон кустарников</t>
  </si>
  <si>
    <t>3.2.4.6</t>
  </si>
  <si>
    <t>Стрижка живой изгороди</t>
  </si>
  <si>
    <t>1000 кв.м.</t>
  </si>
  <si>
    <t>3.2.5.1</t>
  </si>
  <si>
    <t>Уборка детских и спортивных площадок</t>
  </si>
  <si>
    <t>3.2.5.2.1</t>
  </si>
  <si>
    <t>Окраска скамьи без спинки с металлическими опорами</t>
  </si>
  <si>
    <t>скамья</t>
  </si>
  <si>
    <t>3.2.5.2.2</t>
  </si>
  <si>
    <t>Окраска скамьи без спинки с бетонными опорами</t>
  </si>
  <si>
    <t>3.2.5.2.3</t>
  </si>
  <si>
    <t>Окраска скамьи чугунной со спинкой</t>
  </si>
  <si>
    <t>3.2.5.2.4</t>
  </si>
  <si>
    <t>Окраска качелей-маятника</t>
  </si>
  <si>
    <t>качели</t>
  </si>
  <si>
    <t>3.2.5.2.5</t>
  </si>
  <si>
    <t>Окраска качелей-балансира</t>
  </si>
  <si>
    <t>3.2.5.2.6</t>
  </si>
  <si>
    <t>Окраска поверхности песочницы</t>
  </si>
  <si>
    <t>песочница</t>
  </si>
  <si>
    <t>3.2.5.2.7</t>
  </si>
  <si>
    <t>Окраска лианы 3-х секционной</t>
  </si>
  <si>
    <t>лиана</t>
  </si>
  <si>
    <t>3.2.5.2.8</t>
  </si>
  <si>
    <t>Окраска лестницы</t>
  </si>
  <si>
    <t>лестница</t>
  </si>
  <si>
    <t>3.2.5.2.9</t>
  </si>
  <si>
    <t>Окраска турника</t>
  </si>
  <si>
    <t>турник</t>
  </si>
  <si>
    <t>3.2.5.2.10</t>
  </si>
  <si>
    <t>Окраска хоккейных ворот</t>
  </si>
  <si>
    <t>ворота</t>
  </si>
  <si>
    <t>3.2.5.2.11</t>
  </si>
  <si>
    <t>Окраска футбольных ворот</t>
  </si>
  <si>
    <t>3.2.5.2.12</t>
  </si>
  <si>
    <t>Окраска металлических ограждений спортивных площадок</t>
  </si>
  <si>
    <t xml:space="preserve">пог.м. </t>
  </si>
  <si>
    <t>3.2.5.2.13</t>
  </si>
  <si>
    <t>Окраска деревянных ограждений спортивных площадок</t>
  </si>
  <si>
    <t>3.2.5.3.1</t>
  </si>
  <si>
    <t>Ремонт скамьи без спинки с металлическими опорами</t>
  </si>
  <si>
    <t>3.2.5.3.2</t>
  </si>
  <si>
    <t>Ремонт скамьи без спинки с бетонными опорами</t>
  </si>
  <si>
    <t>3.2.5.3.3</t>
  </si>
  <si>
    <t>Ремонт качелей-маятника</t>
  </si>
  <si>
    <t>3.2.5.3.4</t>
  </si>
  <si>
    <t>Ремонт качелей-балансира</t>
  </si>
  <si>
    <t>3.2.5.3.5</t>
  </si>
  <si>
    <t>Ремонт песочницы</t>
  </si>
  <si>
    <t>3.2.5.3.6</t>
  </si>
  <si>
    <t>Ремонт лианы 3-х секционной</t>
  </si>
  <si>
    <t>3.2.5.3.7</t>
  </si>
  <si>
    <t>Ремонт лестницы</t>
  </si>
  <si>
    <t>3.2.5.3.8</t>
  </si>
  <si>
    <t>Ремонт турника</t>
  </si>
  <si>
    <t>3.2.5.3.9</t>
  </si>
  <si>
    <t>Ремонт хоккейных ворот</t>
  </si>
  <si>
    <t>3.2.5.3.10</t>
  </si>
  <si>
    <t>Ремонт футбольных ворот</t>
  </si>
  <si>
    <t>3.2.5.3.11</t>
  </si>
  <si>
    <t>Ремонт металлических ограждений спортивных площадок</t>
  </si>
  <si>
    <t>пог.м заменяемого участка</t>
  </si>
  <si>
    <t>3.2.5.3.12</t>
  </si>
  <si>
    <t>Ремонт деревянных ограждений спортивных площадок</t>
  </si>
  <si>
    <t>100 пог.м заменяемого участка</t>
  </si>
  <si>
    <t>3.2.5.4</t>
  </si>
  <si>
    <t>Заполнение песочницы песком</t>
  </si>
  <si>
    <t>3.2.6.1</t>
  </si>
  <si>
    <t>Сдвижка и подметание снега при отсутствии снегопада на придомовой территории с усовершенствованным покрытием 1 класса</t>
  </si>
  <si>
    <t>10 000 кв.м. территории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</si>
  <si>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</si>
  <si>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</si>
  <si>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3.2.6.3</t>
  </si>
  <si>
    <t>Сдвижка и подметание снега при отсутствии снегопада на придомовой территории с усовершенствованным покрытием 3 класса</t>
  </si>
  <si>
    <t>3.2.8.1</t>
  </si>
  <si>
    <t>Очистка территории с усовершенствованным покрытием 1 класса от наледи без обработки противогололедными реагентами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</si>
  <si>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</si>
  <si>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</si>
  <si>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3.2.8.3</t>
  </si>
  <si>
    <t>Очистка территории с усовершенствованным покрытием 3 класса от наледи без обработки противогололедными реагентами</t>
  </si>
  <si>
    <t>3.2.8.7</t>
  </si>
  <si>
    <t>Подготовка смеси песка с хлоридами</t>
  </si>
  <si>
    <t>1 куб. м</t>
  </si>
  <si>
    <t>3.2.8.8</t>
  </si>
  <si>
    <t>Посыпка территории I класса</t>
  </si>
  <si>
    <t>3.2.8.9</t>
  </si>
  <si>
    <t>Посыпка территории II класса</t>
  </si>
  <si>
    <t>3.2.8.10</t>
  </si>
  <si>
    <t>Посыпка территории III класса</t>
  </si>
  <si>
    <t>3.2.9.1</t>
  </si>
  <si>
    <t>Очистка кровли от снега, сбивание сосулек (при толщине слоя до 10 см)</t>
  </si>
  <si>
    <t>100 кв.м. кровли</t>
  </si>
  <si>
    <t>3.2.9.4</t>
  </si>
  <si>
    <t>Очистка кровли от мусора, листьев</t>
  </si>
  <si>
    <t>100 кв.м кровли</t>
  </si>
  <si>
    <t>3.2.11</t>
  </si>
  <si>
    <t>Уборка крыльца и площадки перед входом в подъезд (в холодный период года)</t>
  </si>
  <si>
    <t>3.2.12</t>
  </si>
  <si>
    <t>Уборка крыльца и площадки перед входом в подъезд (в теплый период года)</t>
  </si>
  <si>
    <t>3.2.13</t>
  </si>
  <si>
    <t>Очистка металлической решетки и приямка (в теплый период)</t>
  </si>
  <si>
    <t>1 приямок</t>
  </si>
  <si>
    <t>3.2.14</t>
  </si>
  <si>
    <t>Очистка контейнерной площадки в холодный период</t>
  </si>
  <si>
    <t>3.2.15</t>
  </si>
  <si>
    <t>Уборка мусора на  контейнерных  площадках</t>
  </si>
  <si>
    <t>3.2.16</t>
  </si>
  <si>
    <t>Погрузка мусора на автотранспорт вручную</t>
  </si>
  <si>
    <t>100 куб.м</t>
  </si>
  <si>
    <t>3.2.17</t>
  </si>
  <si>
    <t>Прочистка водоприемной воронки внутреннего водостока</t>
  </si>
  <si>
    <t>1 воронка</t>
  </si>
  <si>
    <t>3.3.1.1</t>
  </si>
  <si>
    <t>Текущий ремонт ограждений газона</t>
  </si>
  <si>
    <t>3.3.1.2</t>
  </si>
  <si>
    <t>Покраска ограждений газона</t>
  </si>
  <si>
    <t>3.3.1.3</t>
  </si>
  <si>
    <t>Ремонт газонов</t>
  </si>
  <si>
    <t>м2 ремонтируемой площади газонов</t>
  </si>
  <si>
    <t>3.3.1.4</t>
  </si>
  <si>
    <t>Ремонт цветников</t>
  </si>
  <si>
    <t>м2</t>
  </si>
  <si>
    <t>3.3.1.5</t>
  </si>
  <si>
    <t>Ремонт асфальтобетонного покрытия проездов</t>
  </si>
  <si>
    <t>3.3.1.6</t>
  </si>
  <si>
    <t>Ремонт тротуаров</t>
  </si>
  <si>
    <t>10 м2</t>
  </si>
  <si>
    <t>3.3.1.7</t>
  </si>
  <si>
    <t>Ремонт бордюров</t>
  </si>
  <si>
    <t>10 пог.м.</t>
  </si>
  <si>
    <t>3.3.2.1</t>
  </si>
  <si>
    <t>Устройство газона</t>
  </si>
  <si>
    <t>3.3.2.2</t>
  </si>
  <si>
    <t>Устройство цветников</t>
  </si>
  <si>
    <t>3.3.2.3</t>
  </si>
  <si>
    <t>Установка скамьи с металлическими опорами</t>
  </si>
  <si>
    <t>3.3.2.4</t>
  </si>
  <si>
    <t>Установка скамьи с бетонными опорами</t>
  </si>
  <si>
    <t>3.3.2.5</t>
  </si>
  <si>
    <t>Установка скамьи чугунной со спинкой</t>
  </si>
  <si>
    <t>3.3.2.6</t>
  </si>
  <si>
    <t>Установка качелей-маятника</t>
  </si>
  <si>
    <t>3.3.2.7</t>
  </si>
  <si>
    <t>Установка качелей-балансира</t>
  </si>
  <si>
    <t>3.3.2.8</t>
  </si>
  <si>
    <t>Устройство песочницы</t>
  </si>
  <si>
    <t>3.3.2.9</t>
  </si>
  <si>
    <t>Установка лианы 3-х секционной</t>
  </si>
  <si>
    <t>3.3.2.10</t>
  </si>
  <si>
    <t>Установка лестницы</t>
  </si>
  <si>
    <t>3.3.2.11</t>
  </si>
  <si>
    <t>Установка турника</t>
  </si>
  <si>
    <t>3.3.2.12</t>
  </si>
  <si>
    <t>Установка металлических ограждений спортивных площадок</t>
  </si>
  <si>
    <t>3.3.2.13</t>
  </si>
  <si>
    <t>Установка деревянных ограждений спортивных площадок</t>
  </si>
  <si>
    <t>3.3.2.14</t>
  </si>
  <si>
    <t>Посадка кустарника</t>
  </si>
  <si>
    <t>кустарник</t>
  </si>
  <si>
    <t>3.3.2.15</t>
  </si>
  <si>
    <t>Посадка дерева</t>
  </si>
  <si>
    <t>3.4.5.6</t>
  </si>
  <si>
    <t>Ремонт окрасочной гидроизоляции цоколя (при приготовлении  мастики)</t>
  </si>
  <si>
    <t>100 м2 окрасочной поверхности</t>
  </si>
  <si>
    <t>ИТОГО:</t>
  </si>
  <si>
    <t>Примечание: расценка может быть откорректирована на стоимость материалов</t>
  </si>
  <si>
    <t>Стоимость работ и услуг на 2021 год</t>
  </si>
  <si>
    <t>Цена за ед. измерения,руб.</t>
  </si>
</sst>
</file>

<file path=xl/styles.xml><?xml version="1.0" encoding="utf-8"?>
<styleSheet xmlns="http://schemas.openxmlformats.org/spreadsheetml/2006/main">
  <numFmts count="1">
    <numFmt numFmtId="164" formatCode="#\ ###\ ##0.00"/>
  </numFmts>
  <fonts count="11">
    <font>
      <sz val="11"/>
      <color theme="1"/>
      <name val="Calibri"/>
      <family val="2"/>
      <scheme val="minor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color rgb="FFFFFFFF"/>
      <name val="Calibri"/>
    </font>
    <font>
      <b/>
      <sz val="18"/>
      <color rgb="FF000099"/>
      <name val="Calibri"/>
    </font>
    <font>
      <b/>
      <sz val="11"/>
      <color rgb="FFFFFFFF"/>
      <name val="Calibri"/>
    </font>
    <font>
      <b/>
      <sz val="10"/>
      <color rgb="FFFFFFFF"/>
      <name val="Calibri"/>
    </font>
    <font>
      <b/>
      <sz val="12"/>
      <color indexed="8"/>
      <name val="Arial"/>
      <family val="2"/>
      <charset val="204"/>
    </font>
    <font>
      <b/>
      <sz val="18"/>
      <color rgb="FF000099"/>
      <name val="Calibri"/>
      <family val="2"/>
      <charset val="204"/>
    </font>
    <font>
      <b/>
      <sz val="9"/>
      <color rgb="FFFFFFFF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FFFFFF"/>
      </left>
      <right/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164" fontId="4" fillId="2" borderId="3" xfId="0" applyNumberFormat="1" applyFont="1" applyFill="1" applyBorder="1" applyAlignment="1">
      <alignment horizontal="center" vertical="center" wrapText="1" indent="1"/>
    </xf>
    <xf numFmtId="0" fontId="1" fillId="0" borderId="5" xfId="0" applyFont="1" applyBorder="1" applyAlignment="1">
      <alignment horizontal="center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right" vertical="top" indent="1"/>
    </xf>
    <xf numFmtId="0" fontId="3" fillId="4" borderId="6" xfId="0" applyFont="1" applyFill="1" applyBorder="1" applyAlignment="1">
      <alignment horizontal="right" vertical="top" indent="1"/>
    </xf>
    <xf numFmtId="164" fontId="2" fillId="0" borderId="6" xfId="0" applyNumberFormat="1" applyFont="1" applyBorder="1" applyAlignment="1">
      <alignment horizontal="right" vertical="top" indent="1"/>
    </xf>
    <xf numFmtId="164" fontId="2" fillId="5" borderId="7" xfId="0" applyNumberFormat="1" applyFont="1" applyFill="1" applyBorder="1" applyAlignment="1">
      <alignment horizontal="right" vertical="top" indent="1"/>
    </xf>
    <xf numFmtId="0" fontId="6" fillId="0" borderId="0" xfId="0" applyFont="1" applyAlignment="1">
      <alignment horizontal="right" vertical="center" wrapText="1" indent="1"/>
    </xf>
    <xf numFmtId="164" fontId="6" fillId="2" borderId="2" xfId="0" applyNumberFormat="1" applyFont="1" applyFill="1" applyBorder="1" applyAlignment="1">
      <alignment horizontal="right" vertical="center" wrapText="1" indent="1"/>
    </xf>
    <xf numFmtId="164" fontId="6" fillId="2" borderId="3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164" fontId="2" fillId="0" borderId="11" xfId="0" applyNumberFormat="1" applyFont="1" applyBorder="1" applyAlignment="1">
      <alignment horizontal="right" vertical="top" indent="1"/>
    </xf>
    <xf numFmtId="164" fontId="6" fillId="2" borderId="10" xfId="0" applyNumberFormat="1" applyFont="1" applyFill="1" applyBorder="1" applyAlignment="1">
      <alignment horizontal="right" vertical="center" wrapText="1" indent="1"/>
    </xf>
    <xf numFmtId="164" fontId="10" fillId="2" borderId="10" xfId="0" applyNumberFormat="1" applyFont="1" applyFill="1" applyBorder="1" applyAlignment="1">
      <alignment horizontal="center" vertical="center" wrapText="1" indent="1"/>
    </xf>
    <xf numFmtId="0" fontId="7" fillId="2" borderId="1" xfId="0" applyFont="1" applyFill="1" applyBorder="1" applyAlignment="1">
      <alignment horizontal="right" vertical="center" wrapText="1" indent="1"/>
    </xf>
    <xf numFmtId="0" fontId="9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3"/>
  <sheetViews>
    <sheetView tabSelected="1" workbookViewId="0">
      <pane ySplit="3" topLeftCell="A169" activePane="bottomLeft" state="frozen"/>
      <selection pane="bottomLeft" activeCell="N442" sqref="N442"/>
    </sheetView>
  </sheetViews>
  <sheetFormatPr defaultRowHeight="15.75"/>
  <cols>
    <col min="1" max="1" width="3" customWidth="1"/>
    <col min="2" max="2" width="6" style="1" customWidth="1"/>
    <col min="3" max="3" width="13" style="2" hidden="1" customWidth="1"/>
    <col min="4" max="4" width="50" style="3" customWidth="1"/>
    <col min="5" max="5" width="20" style="3" customWidth="1"/>
    <col min="6" max="7" width="12" style="4" customWidth="1"/>
    <col min="8" max="9" width="14" style="5" hidden="1" customWidth="1"/>
    <col min="10" max="10" width="13" style="5" hidden="1" customWidth="1"/>
    <col min="11" max="13" width="14" style="5" hidden="1" customWidth="1"/>
    <col min="14" max="14" width="14" style="5" customWidth="1"/>
    <col min="15" max="15" width="16" style="5" customWidth="1"/>
  </cols>
  <sheetData>
    <row r="1" spans="1:15" ht="15.75" customHeight="1">
      <c r="B1" s="27" t="s">
        <v>1122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.75" customHeight="1" thickBot="1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6" customFormat="1" ht="39.950000000000003" customHeight="1" thickTop="1" thickBot="1">
      <c r="A3" s="6" t="s">
        <v>0</v>
      </c>
      <c r="B3" s="7" t="s">
        <v>1</v>
      </c>
      <c r="C3" s="8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25" t="s">
        <v>1123</v>
      </c>
      <c r="O3" s="11" t="s">
        <v>13</v>
      </c>
    </row>
    <row r="4" spans="1:15" ht="16.5" thickTop="1">
      <c r="B4" s="12">
        <v>1</v>
      </c>
      <c r="C4" s="13" t="s">
        <v>14</v>
      </c>
      <c r="D4" s="14" t="s">
        <v>15</v>
      </c>
      <c r="E4" s="14" t="s">
        <v>16</v>
      </c>
      <c r="F4" s="15">
        <v>1</v>
      </c>
      <c r="G4" s="16">
        <v>1</v>
      </c>
      <c r="H4" s="17">
        <f>F4 * G4 * 23409.3496</f>
        <v>23409.349600000001</v>
      </c>
      <c r="I4" s="17">
        <f>F4 * G4 * 457798.655871</f>
        <v>457798.65587100002</v>
      </c>
      <c r="J4" s="17">
        <f>F4 * G4 * 1175.04</f>
        <v>1175.04</v>
      </c>
      <c r="K4" s="17">
        <f>F4 * G4 * 23456.168299</f>
        <v>23456.168299000001</v>
      </c>
      <c r="L4" s="17">
        <f>F4 * G4 * 92315.656513</f>
        <v>92315.656512999994</v>
      </c>
      <c r="M4" s="17">
        <f t="shared" ref="M4:M67" si="0">F4 * G4 * 0</f>
        <v>0</v>
      </c>
      <c r="N4" s="23">
        <f>O4/G4/F4/100</f>
        <v>5981.5487028300004</v>
      </c>
      <c r="O4" s="18">
        <f t="shared" ref="O4:O67" si="1">SUM(H4:M4)</f>
        <v>598154.87028300005</v>
      </c>
    </row>
    <row r="5" spans="1:15">
      <c r="B5" s="12">
        <v>2</v>
      </c>
      <c r="C5" s="13" t="s">
        <v>17</v>
      </c>
      <c r="D5" s="14" t="s">
        <v>18</v>
      </c>
      <c r="E5" s="14" t="s">
        <v>19</v>
      </c>
      <c r="F5" s="15">
        <v>1</v>
      </c>
      <c r="G5" s="16">
        <v>1</v>
      </c>
      <c r="H5" s="17">
        <f>F5 * G5 * 883.717404</f>
        <v>883.71740399999999</v>
      </c>
      <c r="I5" s="17">
        <f>F5 * G5 * 9172.779176</f>
        <v>9172.779176</v>
      </c>
      <c r="J5" s="17">
        <f>F5 * G5 * 13290.1093</f>
        <v>13290.1093</v>
      </c>
      <c r="K5" s="17">
        <f>F5 * G5 * 4886.899158</f>
        <v>4886.8991580000002</v>
      </c>
      <c r="L5" s="17">
        <f>F5 * G5 * 5152.61467</f>
        <v>5152.6146699999999</v>
      </c>
      <c r="M5" s="17">
        <f t="shared" si="0"/>
        <v>0</v>
      </c>
      <c r="N5" s="23">
        <f>O5/G5/F5</f>
        <v>33386.119707999998</v>
      </c>
      <c r="O5" s="18">
        <f t="shared" si="1"/>
        <v>33386.119707999998</v>
      </c>
    </row>
    <row r="6" spans="1:15" ht="25.5">
      <c r="B6" s="12">
        <v>3</v>
      </c>
      <c r="C6" s="13" t="s">
        <v>20</v>
      </c>
      <c r="D6" s="14" t="s">
        <v>21</v>
      </c>
      <c r="E6" s="14" t="s">
        <v>22</v>
      </c>
      <c r="F6" s="15">
        <v>1</v>
      </c>
      <c r="G6" s="16">
        <v>1</v>
      </c>
      <c r="H6" s="17">
        <f>F6 * G6 * 9030.731613</f>
        <v>9030.7316129999999</v>
      </c>
      <c r="I6" s="17">
        <f>F6 * G6 * 22868.134776</f>
        <v>22868.134775999999</v>
      </c>
      <c r="J6" s="17">
        <f>F6 * G6 * 0</f>
        <v>0</v>
      </c>
      <c r="K6" s="17">
        <f>F6 * G6 * 9048.793076</f>
        <v>9048.7930759999999</v>
      </c>
      <c r="L6" s="17">
        <f>F6 * G6 * 7472.947853</f>
        <v>7472.9478529999997</v>
      </c>
      <c r="M6" s="17">
        <f t="shared" si="0"/>
        <v>0</v>
      </c>
      <c r="N6" s="23">
        <f t="shared" ref="N6:N44" si="2">O6/G6/F6/100</f>
        <v>484.20607317999998</v>
      </c>
      <c r="O6" s="18">
        <f t="shared" si="1"/>
        <v>48420.607317999995</v>
      </c>
    </row>
    <row r="7" spans="1:15">
      <c r="B7" s="12">
        <v>4</v>
      </c>
      <c r="C7" s="13" t="s">
        <v>23</v>
      </c>
      <c r="D7" s="14" t="s">
        <v>24</v>
      </c>
      <c r="E7" s="14" t="s">
        <v>25</v>
      </c>
      <c r="F7" s="15">
        <v>1</v>
      </c>
      <c r="G7" s="16">
        <v>1</v>
      </c>
      <c r="H7" s="17">
        <f>F7 * G7 * 367.981845</f>
        <v>367.98184500000002</v>
      </c>
      <c r="I7" s="17">
        <f>F7 * G7 * 1161.623462</f>
        <v>1161.623462</v>
      </c>
      <c r="J7" s="17">
        <f>F7 * G7 * 0</f>
        <v>0</v>
      </c>
      <c r="K7" s="17">
        <f>F7 * G7 * 368.717809</f>
        <v>368.71780899999999</v>
      </c>
      <c r="L7" s="17">
        <f>F7 * G7 * 346.443969</f>
        <v>346.44396899999998</v>
      </c>
      <c r="M7" s="17">
        <f t="shared" si="0"/>
        <v>0</v>
      </c>
      <c r="N7" s="23">
        <f>O7/G7/F7</f>
        <v>2244.767085</v>
      </c>
      <c r="O7" s="18">
        <f t="shared" si="1"/>
        <v>2244.767085</v>
      </c>
    </row>
    <row r="8" spans="1:15">
      <c r="B8" s="12">
        <v>5</v>
      </c>
      <c r="C8" s="13" t="s">
        <v>26</v>
      </c>
      <c r="D8" s="14" t="s">
        <v>27</v>
      </c>
      <c r="E8" s="14" t="s">
        <v>28</v>
      </c>
      <c r="F8" s="15">
        <v>1</v>
      </c>
      <c r="G8" s="16">
        <v>1</v>
      </c>
      <c r="H8" s="17">
        <f>F8 * G8 * 7223.930955</f>
        <v>7223.9309549999998</v>
      </c>
      <c r="I8" s="17">
        <f>F8 * G8 * 49728.603915</f>
        <v>49728.603915</v>
      </c>
      <c r="J8" s="17">
        <f>F8 * G8 * 0</f>
        <v>0</v>
      </c>
      <c r="K8" s="17">
        <f>F8 * G8 * 7238.378817</f>
        <v>7238.3788169999998</v>
      </c>
      <c r="L8" s="17">
        <f>F8 * G8 * 11714.841748</f>
        <v>11714.841748000001</v>
      </c>
      <c r="M8" s="17">
        <f t="shared" si="0"/>
        <v>0</v>
      </c>
      <c r="N8" s="23">
        <f t="shared" si="2"/>
        <v>759.05755435000003</v>
      </c>
      <c r="O8" s="18">
        <f t="shared" si="1"/>
        <v>75905.755434999999</v>
      </c>
    </row>
    <row r="9" spans="1:15" ht="38.25">
      <c r="B9" s="12">
        <v>6</v>
      </c>
      <c r="C9" s="13" t="s">
        <v>29</v>
      </c>
      <c r="D9" s="14" t="s">
        <v>30</v>
      </c>
      <c r="E9" s="14" t="s">
        <v>31</v>
      </c>
      <c r="F9" s="15">
        <v>1</v>
      </c>
      <c r="G9" s="16">
        <v>1</v>
      </c>
      <c r="H9" s="17">
        <f>F9 * G9 * 23417.0265</f>
        <v>23417.0265</v>
      </c>
      <c r="I9" s="17">
        <f>F9 * G9 * 70881.904725</f>
        <v>70881.904725</v>
      </c>
      <c r="J9" s="17">
        <f>F9 * G9 * 18588.36</f>
        <v>18588.36</v>
      </c>
      <c r="K9" s="17">
        <f>F9 * G9 * 23463.860553</f>
        <v>23463.860552999999</v>
      </c>
      <c r="L9" s="17">
        <f>F9 * G9 * 24884.085199</f>
        <v>24884.085199000001</v>
      </c>
      <c r="M9" s="17">
        <f t="shared" si="0"/>
        <v>0</v>
      </c>
      <c r="N9" s="23">
        <f t="shared" si="2"/>
        <v>1612.35236977</v>
      </c>
      <c r="O9" s="18">
        <f t="shared" si="1"/>
        <v>161235.23697699999</v>
      </c>
    </row>
    <row r="10" spans="1:15" ht="38.25">
      <c r="B10" s="12">
        <v>7</v>
      </c>
      <c r="C10" s="13" t="s">
        <v>32</v>
      </c>
      <c r="D10" s="14" t="s">
        <v>33</v>
      </c>
      <c r="E10" s="14" t="s">
        <v>34</v>
      </c>
      <c r="F10" s="15">
        <v>1</v>
      </c>
      <c r="G10" s="16">
        <v>1</v>
      </c>
      <c r="H10" s="17">
        <f>F10 * G10 * 91499.9436</f>
        <v>91499.943599999999</v>
      </c>
      <c r="I10" s="17">
        <f>F10 * G10 * 70881.904725</f>
        <v>70881.904725</v>
      </c>
      <c r="J10" s="17">
        <f>F10 * G10 * 0</f>
        <v>0</v>
      </c>
      <c r="K10" s="17">
        <f>F10 * G10 * 91682.943487</f>
        <v>91682.943486999997</v>
      </c>
      <c r="L10" s="17">
        <f>F10 * G10 * 46366.824506</f>
        <v>46366.824505999997</v>
      </c>
      <c r="M10" s="17">
        <f t="shared" si="0"/>
        <v>0</v>
      </c>
      <c r="N10" s="23">
        <f t="shared" si="2"/>
        <v>3004.3161631799994</v>
      </c>
      <c r="O10" s="18">
        <f t="shared" si="1"/>
        <v>300431.61631799996</v>
      </c>
    </row>
    <row r="11" spans="1:15" ht="38.25">
      <c r="B11" s="12">
        <v>8</v>
      </c>
      <c r="C11" s="13" t="s">
        <v>35</v>
      </c>
      <c r="D11" s="14" t="s">
        <v>36</v>
      </c>
      <c r="E11" s="14" t="s">
        <v>37</v>
      </c>
      <c r="F11" s="15">
        <v>1</v>
      </c>
      <c r="G11" s="16">
        <v>1</v>
      </c>
      <c r="H11" s="17">
        <f>F11 * G11 * 12842.694</f>
        <v>12842.694</v>
      </c>
      <c r="I11" s="17">
        <f>F11 * G11 * 18779.515479</f>
        <v>18779.515479000002</v>
      </c>
      <c r="J11" s="17">
        <f>F11 * G11 * 0</f>
        <v>0</v>
      </c>
      <c r="K11" s="17">
        <f>F11 * G11 * 12868.379388</f>
        <v>12868.379387999999</v>
      </c>
      <c r="L11" s="17">
        <f>F11 * G11 * 8119.53246799999</f>
        <v>8119.5324679999903</v>
      </c>
      <c r="M11" s="17">
        <f t="shared" si="0"/>
        <v>0</v>
      </c>
      <c r="N11" s="23">
        <f t="shared" si="2"/>
        <v>526.10121334999985</v>
      </c>
      <c r="O11" s="18">
        <f t="shared" si="1"/>
        <v>52610.121334999989</v>
      </c>
    </row>
    <row r="12" spans="1:15" ht="38.25">
      <c r="B12" s="12">
        <v>9</v>
      </c>
      <c r="C12" s="13" t="s">
        <v>38</v>
      </c>
      <c r="D12" s="14" t="s">
        <v>39</v>
      </c>
      <c r="E12" s="14" t="s">
        <v>37</v>
      </c>
      <c r="F12" s="15">
        <v>1</v>
      </c>
      <c r="G12" s="16">
        <v>1</v>
      </c>
      <c r="H12" s="17">
        <f>F12 * G12 * 18612.6</f>
        <v>18612.599999999999</v>
      </c>
      <c r="I12" s="17">
        <f>F12 * G12 * 28169.273218</f>
        <v>28169.273217999998</v>
      </c>
      <c r="J12" s="17">
        <f>F12 * G12 * 0</f>
        <v>0</v>
      </c>
      <c r="K12" s="17">
        <f>F12 * G12 * 18649.8252</f>
        <v>18649.825199999999</v>
      </c>
      <c r="L12" s="17">
        <f>F12 * G12 * 11941.284961</f>
        <v>11941.284960999999</v>
      </c>
      <c r="M12" s="17">
        <f t="shared" si="0"/>
        <v>0</v>
      </c>
      <c r="N12" s="23">
        <f t="shared" si="2"/>
        <v>773.72983378999993</v>
      </c>
      <c r="O12" s="18">
        <f t="shared" si="1"/>
        <v>77372.983378999998</v>
      </c>
    </row>
    <row r="13" spans="1:15" ht="38.25">
      <c r="B13" s="12">
        <v>10</v>
      </c>
      <c r="C13" s="13" t="s">
        <v>40</v>
      </c>
      <c r="D13" s="14" t="s">
        <v>41</v>
      </c>
      <c r="E13" s="14" t="s">
        <v>37</v>
      </c>
      <c r="F13" s="15">
        <v>1</v>
      </c>
      <c r="G13" s="16">
        <v>1</v>
      </c>
      <c r="H13" s="17">
        <f>F13 * G13 * 20473.86</f>
        <v>20473.86</v>
      </c>
      <c r="I13" s="17">
        <f>F13 * G13 * 37559.030958</f>
        <v>37559.030958000003</v>
      </c>
      <c r="J13" s="17">
        <f>F13 * G13 * 0</f>
        <v>0</v>
      </c>
      <c r="K13" s="17">
        <f>F13 * G13 * 20514.8077199999</f>
        <v>20514.807719999899</v>
      </c>
      <c r="L13" s="17">
        <f>F13 * G13 * 14334.955009</f>
        <v>14334.955008999999</v>
      </c>
      <c r="M13" s="17">
        <f t="shared" si="0"/>
        <v>0</v>
      </c>
      <c r="N13" s="23">
        <f t="shared" si="2"/>
        <v>928.82653686999902</v>
      </c>
      <c r="O13" s="18">
        <f t="shared" si="1"/>
        <v>92882.653686999896</v>
      </c>
    </row>
    <row r="14" spans="1:15" ht="38.25">
      <c r="B14" s="12">
        <v>11</v>
      </c>
      <c r="C14" s="13" t="s">
        <v>42</v>
      </c>
      <c r="D14" s="14" t="s">
        <v>43</v>
      </c>
      <c r="E14" s="14" t="s">
        <v>37</v>
      </c>
      <c r="F14" s="15">
        <v>1</v>
      </c>
      <c r="G14" s="16">
        <v>1</v>
      </c>
      <c r="H14" s="17">
        <f>F14 * G14 * 29780.16</f>
        <v>29780.16</v>
      </c>
      <c r="I14" s="17">
        <f>F14 * G14 * 75118.061915</f>
        <v>75118.061914999998</v>
      </c>
      <c r="J14" s="17">
        <f>F14 * G14 * 0</f>
        <v>0</v>
      </c>
      <c r="K14" s="17">
        <f>F14 * G14 * 29839.72032</f>
        <v>29839.72032</v>
      </c>
      <c r="L14" s="17">
        <f>F14 * G14 * 24589.674458</f>
        <v>24589.674458000001</v>
      </c>
      <c r="M14" s="17">
        <f t="shared" si="0"/>
        <v>0</v>
      </c>
      <c r="N14" s="23">
        <f t="shared" si="2"/>
        <v>1593.2761669299998</v>
      </c>
      <c r="O14" s="18">
        <f t="shared" si="1"/>
        <v>159327.61669299999</v>
      </c>
    </row>
    <row r="15" spans="1:15" ht="38.25">
      <c r="B15" s="12">
        <v>12</v>
      </c>
      <c r="C15" s="13" t="s">
        <v>44</v>
      </c>
      <c r="D15" s="14" t="s">
        <v>45</v>
      </c>
      <c r="E15" s="14" t="s">
        <v>31</v>
      </c>
      <c r="F15" s="15">
        <v>1</v>
      </c>
      <c r="G15" s="16">
        <v>1</v>
      </c>
      <c r="H15" s="17">
        <f>F15 * G15 * 55892.941</f>
        <v>55892.940999999999</v>
      </c>
      <c r="I15" s="17">
        <f>F15 * G15 * 22592.9829</f>
        <v>22592.982899999999</v>
      </c>
      <c r="J15" s="17">
        <f>F15 * G15 * 23014.16</f>
        <v>23014.16</v>
      </c>
      <c r="K15" s="17">
        <f>F15 * G15 * 56004.726882</f>
        <v>56004.726882000003</v>
      </c>
      <c r="L15" s="17">
        <f>F15 * G15 * 28744.627968</f>
        <v>28744.627968000001</v>
      </c>
      <c r="M15" s="17">
        <f t="shared" si="0"/>
        <v>0</v>
      </c>
      <c r="N15" s="23">
        <f t="shared" si="2"/>
        <v>1862.4943875000004</v>
      </c>
      <c r="O15" s="18">
        <f t="shared" si="1"/>
        <v>186249.43875000003</v>
      </c>
    </row>
    <row r="16" spans="1:15" ht="25.5">
      <c r="B16" s="12">
        <v>13</v>
      </c>
      <c r="C16" s="13" t="s">
        <v>46</v>
      </c>
      <c r="D16" s="14" t="s">
        <v>47</v>
      </c>
      <c r="E16" s="14" t="s">
        <v>48</v>
      </c>
      <c r="F16" s="15">
        <v>1</v>
      </c>
      <c r="G16" s="16">
        <v>1</v>
      </c>
      <c r="H16" s="17">
        <f>F16 * G16 * 2328.43626</f>
        <v>2328.4362599999999</v>
      </c>
      <c r="I16" s="17">
        <f>F16 * G16 * 986.0453</f>
        <v>986.0453</v>
      </c>
      <c r="J16" s="17">
        <f>F16 * G16 * 1106.45</f>
        <v>1106.45</v>
      </c>
      <c r="K16" s="17">
        <f>F16 * G16 * 2333.093133</f>
        <v>2333.0931329999999</v>
      </c>
      <c r="L16" s="17">
        <f>F16 * G16 * 1232.609506</f>
        <v>1232.609506</v>
      </c>
      <c r="M16" s="17">
        <f t="shared" si="0"/>
        <v>0</v>
      </c>
      <c r="N16" s="23">
        <f t="shared" si="2"/>
        <v>79.866341989999995</v>
      </c>
      <c r="O16" s="18">
        <f t="shared" si="1"/>
        <v>7986.6341989999992</v>
      </c>
    </row>
    <row r="17" spans="2:15" ht="25.5">
      <c r="B17" s="12">
        <v>14</v>
      </c>
      <c r="C17" s="13" t="s">
        <v>49</v>
      </c>
      <c r="D17" s="14" t="s">
        <v>50</v>
      </c>
      <c r="E17" s="14" t="s">
        <v>48</v>
      </c>
      <c r="F17" s="15">
        <v>1</v>
      </c>
      <c r="G17" s="16">
        <v>1</v>
      </c>
      <c r="H17" s="17">
        <f>F17 * G17 * 4502.95744</f>
        <v>4502.9574400000001</v>
      </c>
      <c r="I17" s="17">
        <f>F17 * G17 * 3009.359926</f>
        <v>3009.3599260000001</v>
      </c>
      <c r="J17" s="17">
        <f>F17 * G17 * 1345.4432</f>
        <v>1345.4431999999999</v>
      </c>
      <c r="K17" s="17">
        <f>F17 * G17 * 4511.963355</f>
        <v>4511.9633549999999</v>
      </c>
      <c r="L17" s="17">
        <f>F17 * G17 * 2439.974615</f>
        <v>2439.9746150000001</v>
      </c>
      <c r="M17" s="17">
        <f t="shared" si="0"/>
        <v>0</v>
      </c>
      <c r="N17" s="23">
        <f t="shared" si="2"/>
        <v>158.09698535999999</v>
      </c>
      <c r="O17" s="18">
        <f t="shared" si="1"/>
        <v>15809.698536</v>
      </c>
    </row>
    <row r="18" spans="2:15" ht="25.5">
      <c r="B18" s="12">
        <v>15</v>
      </c>
      <c r="C18" s="13" t="s">
        <v>51</v>
      </c>
      <c r="D18" s="14" t="s">
        <v>52</v>
      </c>
      <c r="E18" s="14" t="s">
        <v>53</v>
      </c>
      <c r="F18" s="15">
        <v>1</v>
      </c>
      <c r="G18" s="16">
        <v>1</v>
      </c>
      <c r="H18" s="17">
        <f>F18 * G18 * 2419.638</f>
        <v>2419.6379999999999</v>
      </c>
      <c r="I18" s="17">
        <f>F18 * G18 * 521.357074</f>
        <v>521.35707400000001</v>
      </c>
      <c r="J18" s="17">
        <f t="shared" ref="J18:J26" si="3">F18 * G18 * 0</f>
        <v>0</v>
      </c>
      <c r="K18" s="17">
        <f>F18 * G18 * 2424.477276</f>
        <v>2424.4772760000001</v>
      </c>
      <c r="L18" s="17">
        <f>F18 * G18 * 979.198703999999</f>
        <v>979.198703999999</v>
      </c>
      <c r="M18" s="17">
        <f t="shared" si="0"/>
        <v>0</v>
      </c>
      <c r="N18" s="23">
        <f t="shared" si="2"/>
        <v>63.446710539999984</v>
      </c>
      <c r="O18" s="18">
        <f t="shared" si="1"/>
        <v>6344.6710539999985</v>
      </c>
    </row>
    <row r="19" spans="2:15" ht="25.5">
      <c r="B19" s="12">
        <v>16</v>
      </c>
      <c r="C19" s="13" t="s">
        <v>54</v>
      </c>
      <c r="D19" s="14" t="s">
        <v>55</v>
      </c>
      <c r="E19" s="14" t="s">
        <v>53</v>
      </c>
      <c r="F19" s="15">
        <v>1</v>
      </c>
      <c r="G19" s="16">
        <v>1</v>
      </c>
      <c r="H19" s="17">
        <f>F19 * G19 * 8189.544</f>
        <v>8189.5439999999999</v>
      </c>
      <c r="I19" s="17">
        <f>F19 * G19 * 2823.069781</f>
        <v>2823.0697810000001</v>
      </c>
      <c r="J19" s="17">
        <f t="shared" si="3"/>
        <v>0</v>
      </c>
      <c r="K19" s="17">
        <f>F19 * G19 * 8205.923088</f>
        <v>8205.9230879999996</v>
      </c>
      <c r="L19" s="17">
        <f>F19 * G19 * 3507.382978</f>
        <v>3507.3829780000001</v>
      </c>
      <c r="M19" s="17">
        <f t="shared" si="0"/>
        <v>0</v>
      </c>
      <c r="N19" s="23">
        <f t="shared" si="2"/>
        <v>227.25919847</v>
      </c>
      <c r="O19" s="18">
        <f t="shared" si="1"/>
        <v>22725.919847000001</v>
      </c>
    </row>
    <row r="20" spans="2:15" ht="25.5">
      <c r="B20" s="12">
        <v>17</v>
      </c>
      <c r="C20" s="13" t="s">
        <v>56</v>
      </c>
      <c r="D20" s="14" t="s">
        <v>57</v>
      </c>
      <c r="E20" s="14" t="s">
        <v>53</v>
      </c>
      <c r="F20" s="15">
        <v>1</v>
      </c>
      <c r="G20" s="16">
        <v>1</v>
      </c>
      <c r="H20" s="17">
        <f>F20 * G20 * 10321.5242</f>
        <v>10321.5242</v>
      </c>
      <c r="I20" s="17">
        <f>F20 * G20 * 5817.021474</f>
        <v>5817.0214740000001</v>
      </c>
      <c r="J20" s="17">
        <f t="shared" si="3"/>
        <v>0</v>
      </c>
      <c r="K20" s="17">
        <f>F20 * G20 * 10342.167248</f>
        <v>10342.167248</v>
      </c>
      <c r="L20" s="17">
        <f>F20 * G20 * 4832.730108</f>
        <v>4832.7301079999997</v>
      </c>
      <c r="M20" s="17">
        <f t="shared" si="0"/>
        <v>0</v>
      </c>
      <c r="N20" s="23">
        <f t="shared" si="2"/>
        <v>313.13443029999996</v>
      </c>
      <c r="O20" s="18">
        <f t="shared" si="1"/>
        <v>31313.443029999999</v>
      </c>
    </row>
    <row r="21" spans="2:15" ht="25.5">
      <c r="B21" s="12">
        <v>18</v>
      </c>
      <c r="C21" s="13" t="s">
        <v>58</v>
      </c>
      <c r="D21" s="14" t="s">
        <v>59</v>
      </c>
      <c r="E21" s="14" t="s">
        <v>60</v>
      </c>
      <c r="F21" s="15">
        <v>1</v>
      </c>
      <c r="G21" s="16">
        <v>1</v>
      </c>
      <c r="H21" s="17">
        <f>F21 * G21 * 39698.17</f>
        <v>39698.17</v>
      </c>
      <c r="I21" s="17">
        <f>F21 * G21 * 21372.184696</f>
        <v>21372.184696</v>
      </c>
      <c r="J21" s="17">
        <f t="shared" si="3"/>
        <v>0</v>
      </c>
      <c r="K21" s="17">
        <f>F21 * G21 * 39777.56634</f>
        <v>39777.566339999998</v>
      </c>
      <c r="L21" s="17">
        <f>F21 * G21 * 18404.745589</f>
        <v>18404.745588999998</v>
      </c>
      <c r="M21" s="17">
        <f t="shared" si="0"/>
        <v>0</v>
      </c>
      <c r="N21" s="23">
        <f t="shared" si="2"/>
        <v>1192.5266662499998</v>
      </c>
      <c r="O21" s="18">
        <f t="shared" si="1"/>
        <v>119252.66662499998</v>
      </c>
    </row>
    <row r="22" spans="2:15">
      <c r="B22" s="12">
        <v>19</v>
      </c>
      <c r="C22" s="13" t="s">
        <v>61</v>
      </c>
      <c r="D22" s="14" t="s">
        <v>62</v>
      </c>
      <c r="E22" s="14" t="s">
        <v>60</v>
      </c>
      <c r="F22" s="15">
        <v>1</v>
      </c>
      <c r="G22" s="16">
        <v>1</v>
      </c>
      <c r="H22" s="17">
        <f>F22 * G22 * 2615.539635</f>
        <v>2615.5396350000001</v>
      </c>
      <c r="I22" s="17">
        <f>F22 * G22 * 610.73562</f>
        <v>610.73562000000004</v>
      </c>
      <c r="J22" s="17">
        <f t="shared" si="3"/>
        <v>0</v>
      </c>
      <c r="K22" s="17">
        <f>F22 * G22 * 2620.770715</f>
        <v>2620.7707150000001</v>
      </c>
      <c r="L22" s="17">
        <f>F22 * G22 * 1067.08589</f>
        <v>1067.0858900000001</v>
      </c>
      <c r="M22" s="17">
        <f t="shared" si="0"/>
        <v>0</v>
      </c>
      <c r="N22" s="23">
        <f t="shared" si="2"/>
        <v>69.141318600000005</v>
      </c>
      <c r="O22" s="18">
        <f t="shared" si="1"/>
        <v>6914.1318600000004</v>
      </c>
    </row>
    <row r="23" spans="2:15">
      <c r="B23" s="12">
        <v>20</v>
      </c>
      <c r="C23" s="13" t="s">
        <v>63</v>
      </c>
      <c r="D23" s="14" t="s">
        <v>64</v>
      </c>
      <c r="E23" s="14" t="s">
        <v>60</v>
      </c>
      <c r="F23" s="15">
        <v>1</v>
      </c>
      <c r="G23" s="16">
        <v>1</v>
      </c>
      <c r="H23" s="17">
        <f>F23 * G23 * 4366.7987</f>
        <v>4366.7987000000003</v>
      </c>
      <c r="I23" s="17">
        <f>F23 * G23 * 674.725681</f>
        <v>674.72568100000001</v>
      </c>
      <c r="J23" s="17">
        <f t="shared" si="3"/>
        <v>0</v>
      </c>
      <c r="K23" s="17">
        <f>F23 * G23 * 4375.532297</f>
        <v>4375.5322969999997</v>
      </c>
      <c r="L23" s="17">
        <f>F23 * G23 * 1718.612844</f>
        <v>1718.612844</v>
      </c>
      <c r="M23" s="17">
        <f t="shared" si="0"/>
        <v>0</v>
      </c>
      <c r="N23" s="23">
        <f t="shared" si="2"/>
        <v>111.35669522000001</v>
      </c>
      <c r="O23" s="18">
        <f t="shared" si="1"/>
        <v>11135.669522</v>
      </c>
    </row>
    <row r="24" spans="2:15" ht="25.5">
      <c r="B24" s="12">
        <v>21</v>
      </c>
      <c r="C24" s="13" t="s">
        <v>65</v>
      </c>
      <c r="D24" s="14" t="s">
        <v>66</v>
      </c>
      <c r="E24" s="14" t="s">
        <v>67</v>
      </c>
      <c r="F24" s="15">
        <v>1</v>
      </c>
      <c r="G24" s="16">
        <v>1</v>
      </c>
      <c r="H24" s="17">
        <f>F24 * G24 * 2978.016</f>
        <v>2978.0160000000001</v>
      </c>
      <c r="I24" s="17">
        <f>F24 * G24 * 564.375411</f>
        <v>564.37541099999999</v>
      </c>
      <c r="J24" s="17">
        <f t="shared" si="3"/>
        <v>0</v>
      </c>
      <c r="K24" s="17">
        <f>F24 * G24 * 2983.97203199999</f>
        <v>2983.9720319999901</v>
      </c>
      <c r="L24" s="17">
        <f>F24 * G24 * 1191.061328</f>
        <v>1191.061328</v>
      </c>
      <c r="M24" s="17">
        <f t="shared" si="0"/>
        <v>0</v>
      </c>
      <c r="N24" s="23">
        <f t="shared" si="2"/>
        <v>77.174247709999904</v>
      </c>
      <c r="O24" s="18">
        <f t="shared" si="1"/>
        <v>7717.42477099999</v>
      </c>
    </row>
    <row r="25" spans="2:15">
      <c r="B25" s="12">
        <v>22</v>
      </c>
      <c r="C25" s="13" t="s">
        <v>68</v>
      </c>
      <c r="D25" s="14" t="s">
        <v>69</v>
      </c>
      <c r="E25" s="14" t="s">
        <v>67</v>
      </c>
      <c r="F25" s="15">
        <v>1</v>
      </c>
      <c r="G25" s="16">
        <v>1</v>
      </c>
      <c r="H25" s="17">
        <f>F25 * G25 * 8934.048</f>
        <v>8934.0480000000007</v>
      </c>
      <c r="I25" s="17">
        <f>F25 * G25 * 2926.157431</f>
        <v>2926.1574310000001</v>
      </c>
      <c r="J25" s="17">
        <f t="shared" si="3"/>
        <v>0</v>
      </c>
      <c r="K25" s="17">
        <f>F25 * G25 * 8951.916096</f>
        <v>8951.9160960000008</v>
      </c>
      <c r="L25" s="17">
        <f>F25 * G25 * 3798.212179</f>
        <v>3798.2121790000001</v>
      </c>
      <c r="M25" s="17">
        <f t="shared" si="0"/>
        <v>0</v>
      </c>
      <c r="N25" s="23">
        <f t="shared" si="2"/>
        <v>246.10333706000006</v>
      </c>
      <c r="O25" s="18">
        <f t="shared" si="1"/>
        <v>24610.333706000005</v>
      </c>
    </row>
    <row r="26" spans="2:15" ht="25.5">
      <c r="B26" s="12">
        <v>23</v>
      </c>
      <c r="C26" s="13" t="s">
        <v>70</v>
      </c>
      <c r="D26" s="14" t="s">
        <v>71</v>
      </c>
      <c r="E26" s="14" t="s">
        <v>67</v>
      </c>
      <c r="F26" s="15">
        <v>1</v>
      </c>
      <c r="G26" s="16">
        <v>1</v>
      </c>
      <c r="H26" s="17">
        <f>F26 * G26 * 11710.96015</f>
        <v>11710.960150000001</v>
      </c>
      <c r="I26" s="17">
        <f>F26 * G26 * 6363.765586</f>
        <v>6363.7655860000004</v>
      </c>
      <c r="J26" s="17">
        <f t="shared" si="3"/>
        <v>0</v>
      </c>
      <c r="K26" s="17">
        <f>F26 * G26 * 11734.38207</f>
        <v>11734.38207</v>
      </c>
      <c r="L26" s="17">
        <f>F26 * G26 * 5440.162174</f>
        <v>5440.1621740000001</v>
      </c>
      <c r="M26" s="17">
        <f t="shared" si="0"/>
        <v>0</v>
      </c>
      <c r="N26" s="23">
        <f t="shared" si="2"/>
        <v>352.49269979999997</v>
      </c>
      <c r="O26" s="18">
        <f t="shared" si="1"/>
        <v>35249.269979999997</v>
      </c>
    </row>
    <row r="27" spans="2:15" ht="25.5">
      <c r="B27" s="12">
        <v>24</v>
      </c>
      <c r="C27" s="13" t="s">
        <v>72</v>
      </c>
      <c r="D27" s="14" t="s">
        <v>73</v>
      </c>
      <c r="E27" s="14" t="s">
        <v>74</v>
      </c>
      <c r="F27" s="15">
        <v>1</v>
      </c>
      <c r="G27" s="16">
        <v>1</v>
      </c>
      <c r="H27" s="17">
        <f>F27 * G27 * 139.73453</f>
        <v>139.73453000000001</v>
      </c>
      <c r="I27" s="17">
        <f>F27 * G27 * 3135.065745</f>
        <v>3135.0657449999999</v>
      </c>
      <c r="J27" s="17">
        <f>F27 * G27 * 0.0378</f>
        <v>3.78E-2</v>
      </c>
      <c r="K27" s="17">
        <f>F27 * G27 * 140.013999</f>
        <v>140.01399900000001</v>
      </c>
      <c r="L27" s="17">
        <f>F27 * G27 * 623.210503999999</f>
        <v>623.21050399999899</v>
      </c>
      <c r="M27" s="17">
        <f t="shared" si="0"/>
        <v>0</v>
      </c>
      <c r="N27" s="23">
        <f>O27/G27/F27</f>
        <v>4038.0625779999991</v>
      </c>
      <c r="O27" s="18">
        <f t="shared" si="1"/>
        <v>4038.0625779999991</v>
      </c>
    </row>
    <row r="28" spans="2:15">
      <c r="B28" s="12">
        <v>25</v>
      </c>
      <c r="C28" s="13" t="s">
        <v>75</v>
      </c>
      <c r="D28" s="14" t="s">
        <v>76</v>
      </c>
      <c r="E28" s="14" t="s">
        <v>77</v>
      </c>
      <c r="F28" s="15">
        <v>1</v>
      </c>
      <c r="G28" s="16">
        <v>1</v>
      </c>
      <c r="H28" s="17">
        <f>F28 * G28 * 735.127752</f>
        <v>735.12775199999999</v>
      </c>
      <c r="I28" s="17">
        <f>F28 * G28 * 836.862454</f>
        <v>836.86245399999996</v>
      </c>
      <c r="J28" s="17">
        <f t="shared" ref="J28:J35" si="4">F28 * G28 * 0</f>
        <v>0</v>
      </c>
      <c r="K28" s="17">
        <f>F28 * G28 * 736.598007</f>
        <v>736.59800700000005</v>
      </c>
      <c r="L28" s="17">
        <f>F28 * G28 * 421.317349</f>
        <v>421.31734899999998</v>
      </c>
      <c r="M28" s="17">
        <f t="shared" si="0"/>
        <v>0</v>
      </c>
      <c r="N28" s="23">
        <f>O28/G28/F28</f>
        <v>2729.9055619999999</v>
      </c>
      <c r="O28" s="18">
        <f t="shared" si="1"/>
        <v>2729.9055619999999</v>
      </c>
    </row>
    <row r="29" spans="2:15" ht="25.5">
      <c r="B29" s="12">
        <v>26</v>
      </c>
      <c r="C29" s="13" t="s">
        <v>78</v>
      </c>
      <c r="D29" s="14" t="s">
        <v>79</v>
      </c>
      <c r="E29" s="14" t="s">
        <v>80</v>
      </c>
      <c r="F29" s="15">
        <v>1</v>
      </c>
      <c r="G29" s="16">
        <v>1</v>
      </c>
      <c r="H29" s="17">
        <f>F29 * G29 * 958.01223</f>
        <v>958.01223000000005</v>
      </c>
      <c r="I29" s="17">
        <f>F29 * G29 * 2309.116966</f>
        <v>2309.116966</v>
      </c>
      <c r="J29" s="17">
        <f t="shared" si="4"/>
        <v>0</v>
      </c>
      <c r="K29" s="17">
        <f>F29 * G29 * 959.928253999999</f>
        <v>959.92825399999901</v>
      </c>
      <c r="L29" s="17">
        <f>F29 * G29 * 771.437985</f>
        <v>771.43798500000003</v>
      </c>
      <c r="M29" s="17">
        <f t="shared" si="0"/>
        <v>0</v>
      </c>
      <c r="N29" s="23">
        <f t="shared" si="2"/>
        <v>49.984954349999988</v>
      </c>
      <c r="O29" s="18">
        <f t="shared" si="1"/>
        <v>4998.4954349999989</v>
      </c>
    </row>
    <row r="30" spans="2:15">
      <c r="B30" s="12">
        <v>27</v>
      </c>
      <c r="C30" s="13" t="s">
        <v>81</v>
      </c>
      <c r="D30" s="14" t="s">
        <v>82</v>
      </c>
      <c r="E30" s="14" t="s">
        <v>83</v>
      </c>
      <c r="F30" s="15">
        <v>1</v>
      </c>
      <c r="G30" s="16">
        <v>1</v>
      </c>
      <c r="H30" s="17">
        <f>F30 * G30 * 117.30762</f>
        <v>117.30762</v>
      </c>
      <c r="I30" s="17">
        <f>F30 * G30 * 18.515319</f>
        <v>18.515319000000002</v>
      </c>
      <c r="J30" s="17">
        <f t="shared" si="4"/>
        <v>0</v>
      </c>
      <c r="K30" s="17">
        <f>F30 * G30 * 117.542235</f>
        <v>117.54223500000001</v>
      </c>
      <c r="L30" s="17">
        <f>F30 * G30 * 46.2391439999999</f>
        <v>46.239143999999897</v>
      </c>
      <c r="M30" s="17">
        <f t="shared" si="0"/>
        <v>0</v>
      </c>
      <c r="N30" s="23">
        <f>O30/G30/F30</f>
        <v>299.60431799999992</v>
      </c>
      <c r="O30" s="18">
        <f t="shared" si="1"/>
        <v>299.60431799999992</v>
      </c>
    </row>
    <row r="31" spans="2:15" ht="25.5">
      <c r="B31" s="12">
        <v>28</v>
      </c>
      <c r="C31" s="13" t="s">
        <v>84</v>
      </c>
      <c r="D31" s="14" t="s">
        <v>85</v>
      </c>
      <c r="E31" s="14" t="s">
        <v>86</v>
      </c>
      <c r="F31" s="15">
        <v>1</v>
      </c>
      <c r="G31" s="16">
        <v>1</v>
      </c>
      <c r="H31" s="17">
        <f>F31 * G31 * 15480.061498</f>
        <v>15480.061497999999</v>
      </c>
      <c r="I31" s="17">
        <f>F31 * G31 * 3071.691287</f>
        <v>3071.6912870000001</v>
      </c>
      <c r="J31" s="17">
        <f t="shared" si="4"/>
        <v>0</v>
      </c>
      <c r="K31" s="17">
        <f>F31 * G31 * 15511.021621</f>
        <v>15511.021621</v>
      </c>
      <c r="L31" s="17">
        <f>F31 * G31 * 6216.456329</f>
        <v>6216.4563289999996</v>
      </c>
      <c r="M31" s="17">
        <f t="shared" si="0"/>
        <v>0</v>
      </c>
      <c r="N31" s="23">
        <f t="shared" si="2"/>
        <v>402.79230734999999</v>
      </c>
      <c r="O31" s="18">
        <f t="shared" si="1"/>
        <v>40279.230734999997</v>
      </c>
    </row>
    <row r="32" spans="2:15" ht="25.5">
      <c r="B32" s="12">
        <v>29</v>
      </c>
      <c r="C32" s="13" t="s">
        <v>87</v>
      </c>
      <c r="D32" s="14" t="s">
        <v>88</v>
      </c>
      <c r="E32" s="14" t="s">
        <v>89</v>
      </c>
      <c r="F32" s="15">
        <v>1</v>
      </c>
      <c r="G32" s="16">
        <v>1</v>
      </c>
      <c r="H32" s="17">
        <f>F32 * G32 * 240.480621</f>
        <v>240.48062100000001</v>
      </c>
      <c r="I32" s="17">
        <f>F32 * G32 * 521.011179</f>
        <v>521.01117899999997</v>
      </c>
      <c r="J32" s="17">
        <f t="shared" si="4"/>
        <v>0</v>
      </c>
      <c r="K32" s="17">
        <f>F32 * G32 * 240.961583</f>
        <v>240.96158299999999</v>
      </c>
      <c r="L32" s="17">
        <f>F32 * G32 * 182.947743</f>
        <v>182.947743</v>
      </c>
      <c r="M32" s="17">
        <f t="shared" si="0"/>
        <v>0</v>
      </c>
      <c r="N32" s="23">
        <f>O32/G32/F32/10</f>
        <v>118.5401126</v>
      </c>
      <c r="O32" s="18">
        <f t="shared" si="1"/>
        <v>1185.401126</v>
      </c>
    </row>
    <row r="33" spans="2:15" ht="38.25">
      <c r="B33" s="12">
        <v>30</v>
      </c>
      <c r="C33" s="13" t="s">
        <v>90</v>
      </c>
      <c r="D33" s="14" t="s">
        <v>91</v>
      </c>
      <c r="E33" s="14" t="s">
        <v>92</v>
      </c>
      <c r="F33" s="15">
        <v>1</v>
      </c>
      <c r="G33" s="16">
        <v>1</v>
      </c>
      <c r="H33" s="17">
        <f>F33 * G33 * 118.235068</f>
        <v>118.235068</v>
      </c>
      <c r="I33" s="17">
        <f>F33 * G33 * 604.057276</f>
        <v>604.057276</v>
      </c>
      <c r="J33" s="17">
        <f t="shared" si="4"/>
        <v>0</v>
      </c>
      <c r="K33" s="17">
        <f>F33 * G33 * 118.471539</f>
        <v>118.47153900000001</v>
      </c>
      <c r="L33" s="17">
        <f>F33 * G33 * 153.439408</f>
        <v>153.43940799999999</v>
      </c>
      <c r="M33" s="17">
        <f t="shared" si="0"/>
        <v>0</v>
      </c>
      <c r="N33" s="23">
        <f>O33/G33/F33</f>
        <v>994.20329099999992</v>
      </c>
      <c r="O33" s="18">
        <f t="shared" si="1"/>
        <v>994.20329099999992</v>
      </c>
    </row>
    <row r="34" spans="2:15">
      <c r="B34" s="12">
        <v>31</v>
      </c>
      <c r="C34" s="13" t="s">
        <v>93</v>
      </c>
      <c r="D34" s="14" t="s">
        <v>94</v>
      </c>
      <c r="E34" s="14" t="s">
        <v>77</v>
      </c>
      <c r="F34" s="15">
        <v>1</v>
      </c>
      <c r="G34" s="16">
        <v>1</v>
      </c>
      <c r="H34" s="17">
        <f>F34 * G34 * 258.038105</f>
        <v>258.03810499999997</v>
      </c>
      <c r="I34" s="17">
        <f>F34 * G34 * 5.200886</f>
        <v>5.2008859999999997</v>
      </c>
      <c r="J34" s="17">
        <f t="shared" si="4"/>
        <v>0</v>
      </c>
      <c r="K34" s="17">
        <f>F34 * G34 * 258.554181</f>
        <v>258.55418100000003</v>
      </c>
      <c r="L34" s="17">
        <f>F34 * G34 * 95.2272539999999</f>
        <v>95.227253999999903</v>
      </c>
      <c r="M34" s="17">
        <f t="shared" si="0"/>
        <v>0</v>
      </c>
      <c r="N34" s="23">
        <f t="shared" ref="N34:N35" si="5">O34/G34/F34</f>
        <v>617.02042599999993</v>
      </c>
      <c r="O34" s="18">
        <f t="shared" si="1"/>
        <v>617.02042599999993</v>
      </c>
    </row>
    <row r="35" spans="2:15">
      <c r="B35" s="12">
        <v>32</v>
      </c>
      <c r="C35" s="13" t="s">
        <v>95</v>
      </c>
      <c r="D35" s="14" t="s">
        <v>96</v>
      </c>
      <c r="E35" s="14" t="s">
        <v>77</v>
      </c>
      <c r="F35" s="15">
        <v>1</v>
      </c>
      <c r="G35" s="16">
        <v>1</v>
      </c>
      <c r="H35" s="17">
        <f>F35 * G35 * 138.943595</f>
        <v>138.94359499999999</v>
      </c>
      <c r="I35" s="17">
        <f>F35 * G35 * 90.762074</f>
        <v>90.762073999999998</v>
      </c>
      <c r="J35" s="17">
        <f t="shared" si="4"/>
        <v>0</v>
      </c>
      <c r="K35" s="17">
        <f>F35 * G35 * 139.221482999999</f>
        <v>139.22148299999901</v>
      </c>
      <c r="L35" s="17">
        <f>F35 * G35 * 67.329205</f>
        <v>67.329205000000002</v>
      </c>
      <c r="M35" s="17">
        <f t="shared" si="0"/>
        <v>0</v>
      </c>
      <c r="N35" s="23">
        <f t="shared" si="5"/>
        <v>436.25635699999901</v>
      </c>
      <c r="O35" s="18">
        <f t="shared" si="1"/>
        <v>436.25635699999901</v>
      </c>
    </row>
    <row r="36" spans="2:15" ht="25.5">
      <c r="B36" s="12">
        <v>33</v>
      </c>
      <c r="C36" s="13" t="s">
        <v>97</v>
      </c>
      <c r="D36" s="14" t="s">
        <v>98</v>
      </c>
      <c r="E36" s="14" t="s">
        <v>99</v>
      </c>
      <c r="F36" s="15">
        <v>1</v>
      </c>
      <c r="G36" s="16">
        <v>1</v>
      </c>
      <c r="H36" s="17">
        <f>F36 * G36 * 11836.441971</f>
        <v>11836.441971</v>
      </c>
      <c r="I36" s="17">
        <f>F36 * G36 * 37609.205059</f>
        <v>37609.205059</v>
      </c>
      <c r="J36" s="17">
        <f>F36 * G36 * 139.7841</f>
        <v>139.7841</v>
      </c>
      <c r="K36" s="17">
        <f>F36 * G36 * 11928.240827</f>
        <v>11928.240827</v>
      </c>
      <c r="L36" s="17">
        <f>F36 * G36 * 11226.245132</f>
        <v>11226.245132</v>
      </c>
      <c r="M36" s="17">
        <f t="shared" si="0"/>
        <v>0</v>
      </c>
      <c r="N36" s="23">
        <f t="shared" si="2"/>
        <v>727.39917088999994</v>
      </c>
      <c r="O36" s="18">
        <f t="shared" si="1"/>
        <v>72739.917088999995</v>
      </c>
    </row>
    <row r="37" spans="2:15" ht="25.5">
      <c r="B37" s="12">
        <v>34</v>
      </c>
      <c r="C37" s="13" t="s">
        <v>100</v>
      </c>
      <c r="D37" s="14" t="s">
        <v>101</v>
      </c>
      <c r="E37" s="14" t="s">
        <v>102</v>
      </c>
      <c r="F37" s="15">
        <v>1</v>
      </c>
      <c r="G37" s="16">
        <v>1</v>
      </c>
      <c r="H37" s="17">
        <f>F37 * G37 * 5542.015215</f>
        <v>5542.0152150000004</v>
      </c>
      <c r="I37" s="17">
        <f>F37 * G37 * 1157.725276</f>
        <v>1157.7252759999999</v>
      </c>
      <c r="J37" s="17">
        <f>F37 * G37 * 20.562</f>
        <v>20.562000000000001</v>
      </c>
      <c r="K37" s="17">
        <f>F37 * G37 * 5566.404197</f>
        <v>5566.4041969999998</v>
      </c>
      <c r="L37" s="17">
        <f>F37 * G37 * 2242.323971</f>
        <v>2242.3239709999998</v>
      </c>
      <c r="M37" s="17">
        <f t="shared" si="0"/>
        <v>0</v>
      </c>
      <c r="N37" s="23">
        <f t="shared" si="2"/>
        <v>145.29030659</v>
      </c>
      <c r="O37" s="18">
        <f t="shared" si="1"/>
        <v>14529.030659</v>
      </c>
    </row>
    <row r="38" spans="2:15" ht="25.5">
      <c r="B38" s="12">
        <v>35</v>
      </c>
      <c r="C38" s="13" t="s">
        <v>103</v>
      </c>
      <c r="D38" s="14" t="s">
        <v>104</v>
      </c>
      <c r="E38" s="14" t="s">
        <v>102</v>
      </c>
      <c r="F38" s="15">
        <v>1</v>
      </c>
      <c r="G38" s="16">
        <v>1</v>
      </c>
      <c r="H38" s="17">
        <f>F38 * G38 * 4107.611277</f>
        <v>4107.611277</v>
      </c>
      <c r="I38" s="17">
        <f>F38 * G38 * 1157.725276</f>
        <v>1157.7252759999999</v>
      </c>
      <c r="J38" s="17">
        <f>F38 * G38 * 20.562</f>
        <v>20.562000000000001</v>
      </c>
      <c r="K38" s="17">
        <f>F38 * G38 * 4129.131451</f>
        <v>4129.1314510000002</v>
      </c>
      <c r="L38" s="17">
        <f>F38 * G38 * 1718.242975</f>
        <v>1718.2429749999999</v>
      </c>
      <c r="M38" s="17">
        <f t="shared" si="0"/>
        <v>0</v>
      </c>
      <c r="N38" s="23">
        <f t="shared" si="2"/>
        <v>111.33272978999999</v>
      </c>
      <c r="O38" s="18">
        <f t="shared" si="1"/>
        <v>11133.272978999999</v>
      </c>
    </row>
    <row r="39" spans="2:15" ht="51">
      <c r="B39" s="12">
        <v>36</v>
      </c>
      <c r="C39" s="13" t="s">
        <v>105</v>
      </c>
      <c r="D39" s="14" t="s">
        <v>106</v>
      </c>
      <c r="E39" s="14" t="s">
        <v>86</v>
      </c>
      <c r="F39" s="15">
        <v>1</v>
      </c>
      <c r="G39" s="16">
        <v>1</v>
      </c>
      <c r="H39" s="17">
        <f>F39 * G39 * 41209.297313</f>
        <v>41209.297313000003</v>
      </c>
      <c r="I39" s="17">
        <f>F39 * G39 * 14864.91336</f>
        <v>14864.91336</v>
      </c>
      <c r="J39" s="17">
        <f>F39 * G39 * 275.5308</f>
        <v>275.5308</v>
      </c>
      <c r="K39" s="17">
        <f>F39 * G39 * 41470.002261</f>
        <v>41470.002261000001</v>
      </c>
      <c r="L39" s="17">
        <f>F39 * G39 * 17852.103231</f>
        <v>17852.103231000001</v>
      </c>
      <c r="M39" s="17">
        <f t="shared" si="0"/>
        <v>0</v>
      </c>
      <c r="N39" s="23">
        <f t="shared" si="2"/>
        <v>1156.7184696500001</v>
      </c>
      <c r="O39" s="18">
        <f t="shared" si="1"/>
        <v>115671.846965</v>
      </c>
    </row>
    <row r="40" spans="2:15" ht="25.5">
      <c r="B40" s="12">
        <v>37</v>
      </c>
      <c r="C40" s="13" t="s">
        <v>107</v>
      </c>
      <c r="D40" s="14" t="s">
        <v>108</v>
      </c>
      <c r="E40" s="14" t="s">
        <v>109</v>
      </c>
      <c r="F40" s="15">
        <v>1</v>
      </c>
      <c r="G40" s="16">
        <v>1</v>
      </c>
      <c r="H40" s="17">
        <f>F40 * G40 * 9120.174</f>
        <v>9120.1740000000009</v>
      </c>
      <c r="I40" s="17">
        <f>F40 * G40 * 34880.219875</f>
        <v>34880.219875000003</v>
      </c>
      <c r="J40" s="17">
        <f>F40 * G40 * 0</f>
        <v>0</v>
      </c>
      <c r="K40" s="17">
        <f>F40 * G40 * 9138.414348</f>
        <v>9138.4143480000002</v>
      </c>
      <c r="L40" s="17">
        <f>F40 * G40 * 9697.832501</f>
        <v>9697.8325010000008</v>
      </c>
      <c r="M40" s="17">
        <f t="shared" si="0"/>
        <v>0</v>
      </c>
      <c r="N40" s="23">
        <f t="shared" si="2"/>
        <v>628.36640723999994</v>
      </c>
      <c r="O40" s="18">
        <f t="shared" si="1"/>
        <v>62836.640723999997</v>
      </c>
    </row>
    <row r="41" spans="2:15" ht="25.5">
      <c r="B41" s="12">
        <v>38</v>
      </c>
      <c r="C41" s="13" t="s">
        <v>110</v>
      </c>
      <c r="D41" s="14" t="s">
        <v>111</v>
      </c>
      <c r="E41" s="14" t="s">
        <v>112</v>
      </c>
      <c r="F41" s="15">
        <v>1</v>
      </c>
      <c r="G41" s="16">
        <v>1</v>
      </c>
      <c r="H41" s="17">
        <f>F41 * G41 * 10557.6858</f>
        <v>10557.685799999999</v>
      </c>
      <c r="I41" s="17">
        <f>F41 * G41 * 6478.157458</f>
        <v>6478.1574579999997</v>
      </c>
      <c r="J41" s="17">
        <f>F41 * G41 * 0</f>
        <v>0</v>
      </c>
      <c r="K41" s="17">
        <f>F41 * G41 * 10578.801172</f>
        <v>10578.801171999999</v>
      </c>
      <c r="L41" s="17">
        <f>F41 * G41 * 5039.672608</f>
        <v>5039.6726079999999</v>
      </c>
      <c r="M41" s="17">
        <f t="shared" si="0"/>
        <v>0</v>
      </c>
      <c r="N41" s="23">
        <f t="shared" si="2"/>
        <v>326.54317037999999</v>
      </c>
      <c r="O41" s="18">
        <f t="shared" si="1"/>
        <v>32654.317038000001</v>
      </c>
    </row>
    <row r="42" spans="2:15" ht="25.5">
      <c r="B42" s="12">
        <v>39</v>
      </c>
      <c r="C42" s="13" t="s">
        <v>113</v>
      </c>
      <c r="D42" s="14" t="s">
        <v>114</v>
      </c>
      <c r="E42" s="14" t="s">
        <v>112</v>
      </c>
      <c r="F42" s="15">
        <v>1</v>
      </c>
      <c r="G42" s="16">
        <v>1</v>
      </c>
      <c r="H42" s="17">
        <f>F42 * G42 * 12317.3001</f>
        <v>12317.3001</v>
      </c>
      <c r="I42" s="17">
        <f>F42 * G42 * 12870.702647</f>
        <v>12870.702647</v>
      </c>
      <c r="J42" s="17">
        <f>F42 * G42 * 0</f>
        <v>0</v>
      </c>
      <c r="K42" s="17">
        <f>F42 * G42 * 12341.9347</f>
        <v>12341.9347</v>
      </c>
      <c r="L42" s="17">
        <f>F42 * G42 * 6849.21358499999</f>
        <v>6849.2135849999904</v>
      </c>
      <c r="M42" s="17">
        <f t="shared" si="0"/>
        <v>0</v>
      </c>
      <c r="N42" s="23">
        <f t="shared" si="2"/>
        <v>443.79151031999987</v>
      </c>
      <c r="O42" s="18">
        <f t="shared" si="1"/>
        <v>44379.151031999987</v>
      </c>
    </row>
    <row r="43" spans="2:15">
      <c r="B43" s="12">
        <v>40</v>
      </c>
      <c r="C43" s="13" t="s">
        <v>115</v>
      </c>
      <c r="D43" s="14" t="s">
        <v>116</v>
      </c>
      <c r="E43" s="14" t="s">
        <v>117</v>
      </c>
      <c r="F43" s="15">
        <v>1</v>
      </c>
      <c r="G43" s="16">
        <v>1</v>
      </c>
      <c r="H43" s="17">
        <f>F43 * G43 * 1944.1323</f>
        <v>1944.1323</v>
      </c>
      <c r="I43" s="17">
        <f>F43 * G43 * 860.613924</f>
        <v>860.613924</v>
      </c>
      <c r="J43" s="17">
        <f>F43 * G43 * 0</f>
        <v>0</v>
      </c>
      <c r="K43" s="17">
        <f>F43 * G43 * 1948.020565</f>
        <v>1948.020565</v>
      </c>
      <c r="L43" s="17">
        <f>F43 * G43 * 867.379939</f>
        <v>867.37993900000004</v>
      </c>
      <c r="M43" s="17">
        <f t="shared" si="0"/>
        <v>0</v>
      </c>
      <c r="N43" s="23">
        <f t="shared" si="2"/>
        <v>56.201467280000003</v>
      </c>
      <c r="O43" s="18">
        <f t="shared" si="1"/>
        <v>5620.1467280000006</v>
      </c>
    </row>
    <row r="44" spans="2:15">
      <c r="B44" s="12">
        <v>41</v>
      </c>
      <c r="C44" s="13" t="s">
        <v>118</v>
      </c>
      <c r="D44" s="14" t="s">
        <v>119</v>
      </c>
      <c r="E44" s="14" t="s">
        <v>120</v>
      </c>
      <c r="F44" s="15">
        <v>1</v>
      </c>
      <c r="G44" s="16">
        <v>1</v>
      </c>
      <c r="H44" s="17">
        <f>F44 * G44 * 4159.9161</f>
        <v>4159.9161000000004</v>
      </c>
      <c r="I44" s="17">
        <f>F44 * G44 * 38637.027547</f>
        <v>38637.027546999998</v>
      </c>
      <c r="J44" s="17">
        <f>F44 * G44 * 157.0635</f>
        <v>157.0635</v>
      </c>
      <c r="K44" s="17">
        <f>F44 * G44 * 4208.150788</f>
        <v>4208.1507879999999</v>
      </c>
      <c r="L44" s="17">
        <f>F44 * G44 * 8607.093823</f>
        <v>8607.0938229999992</v>
      </c>
      <c r="M44" s="17">
        <f t="shared" si="0"/>
        <v>0</v>
      </c>
      <c r="N44" s="23">
        <f t="shared" si="2"/>
        <v>557.69251757999996</v>
      </c>
      <c r="O44" s="18">
        <f t="shared" si="1"/>
        <v>55769.251757999999</v>
      </c>
    </row>
    <row r="45" spans="2:15">
      <c r="B45" s="12">
        <v>42</v>
      </c>
      <c r="C45" s="13" t="s">
        <v>121</v>
      </c>
      <c r="D45" s="14" t="s">
        <v>122</v>
      </c>
      <c r="E45" s="14" t="s">
        <v>123</v>
      </c>
      <c r="F45" s="15">
        <v>1</v>
      </c>
      <c r="G45" s="16">
        <v>1</v>
      </c>
      <c r="H45" s="17">
        <f>F45 * G45 * 840.70461</f>
        <v>840.70461</v>
      </c>
      <c r="I45" s="17">
        <f>F45 * G45 * 2808.716978</f>
        <v>2808.7169779999999</v>
      </c>
      <c r="J45" s="17">
        <f>F45 * G45 * 0</f>
        <v>0</v>
      </c>
      <c r="K45" s="17">
        <f>F45 * G45 * 842.386019</f>
        <v>842.38601900000003</v>
      </c>
      <c r="L45" s="17">
        <f>F45 * G45 * 819.754889</f>
        <v>819.75488900000005</v>
      </c>
      <c r="M45" s="17">
        <f t="shared" si="0"/>
        <v>0</v>
      </c>
      <c r="N45" s="23">
        <f>O45/G45/F45/10</f>
        <v>531.15624960000002</v>
      </c>
      <c r="O45" s="18">
        <f t="shared" si="1"/>
        <v>5311.5624960000005</v>
      </c>
    </row>
    <row r="46" spans="2:15" ht="38.25">
      <c r="B46" s="12">
        <v>43</v>
      </c>
      <c r="C46" s="13" t="s">
        <v>124</v>
      </c>
      <c r="D46" s="14" t="s">
        <v>125</v>
      </c>
      <c r="E46" s="14" t="s">
        <v>31</v>
      </c>
      <c r="F46" s="15">
        <v>1</v>
      </c>
      <c r="G46" s="16">
        <v>1</v>
      </c>
      <c r="H46" s="17">
        <f>F46 * G46 * 29773.6275</f>
        <v>29773.627499999999</v>
      </c>
      <c r="I46" s="17">
        <f>F46 * G46 * 11314.877126</f>
        <v>11314.877125999999</v>
      </c>
      <c r="J46" s="17">
        <f>F46 * G46 * 0</f>
        <v>0</v>
      </c>
      <c r="K46" s="17">
        <f>F46 * G46 * 29833.174755</f>
        <v>29833.174755</v>
      </c>
      <c r="L46" s="17">
        <f>F46 * G46 * 12943.206487</f>
        <v>12943.206486999999</v>
      </c>
      <c r="M46" s="17">
        <f t="shared" si="0"/>
        <v>0</v>
      </c>
      <c r="N46" s="23">
        <f>O46/G46/F46/100</f>
        <v>838.64885867999999</v>
      </c>
      <c r="O46" s="18">
        <f t="shared" si="1"/>
        <v>83864.885867999998</v>
      </c>
    </row>
    <row r="47" spans="2:15" ht="38.25">
      <c r="B47" s="12">
        <v>44</v>
      </c>
      <c r="C47" s="13" t="s">
        <v>126</v>
      </c>
      <c r="D47" s="14" t="s">
        <v>127</v>
      </c>
      <c r="E47" s="14" t="s">
        <v>31</v>
      </c>
      <c r="F47" s="15">
        <v>1</v>
      </c>
      <c r="G47" s="16">
        <v>1</v>
      </c>
      <c r="H47" s="17">
        <f>F47 * G47 * 6932.18448</f>
        <v>6932.1844799999999</v>
      </c>
      <c r="I47" s="17">
        <f>F47 * G47 * 3009.359926</f>
        <v>3009.3599260000001</v>
      </c>
      <c r="J47" s="17">
        <f>F47 * G47 * 0</f>
        <v>0</v>
      </c>
      <c r="K47" s="17">
        <f>F47 * G47 * 6946.048849</f>
        <v>6946.0488489999998</v>
      </c>
      <c r="L47" s="17">
        <f>F47 * G47 * 3081.985769</f>
        <v>3081.9857689999999</v>
      </c>
      <c r="M47" s="17">
        <f t="shared" si="0"/>
        <v>0</v>
      </c>
      <c r="N47" s="23">
        <f t="shared" ref="N47:N110" si="6">O47/G47/F47/100</f>
        <v>199.69579023999998</v>
      </c>
      <c r="O47" s="18">
        <f t="shared" si="1"/>
        <v>19969.579023999999</v>
      </c>
    </row>
    <row r="48" spans="2:15">
      <c r="B48" s="12">
        <v>45</v>
      </c>
      <c r="C48" s="13" t="s">
        <v>128</v>
      </c>
      <c r="D48" s="14" t="s">
        <v>129</v>
      </c>
      <c r="E48" s="14" t="s">
        <v>130</v>
      </c>
      <c r="F48" s="15">
        <v>1</v>
      </c>
      <c r="G48" s="16">
        <v>1</v>
      </c>
      <c r="H48" s="17">
        <f>F48 * G48 * 27965.006586</f>
        <v>27965.006586</v>
      </c>
      <c r="I48" s="17">
        <f>F48 * G48 * 7419.739891</f>
        <v>7419.7398910000002</v>
      </c>
      <c r="J48" s="17">
        <f>F48 * G48 * 8.228</f>
        <v>8.2279999999999998</v>
      </c>
      <c r="K48" s="17">
        <f>F48 * G48 * 28020.936599</f>
        <v>28020.936599000001</v>
      </c>
      <c r="L48" s="17">
        <f>F48 * G48 * 11573.0387719999</f>
        <v>11573.0387719999</v>
      </c>
      <c r="M48" s="17">
        <f t="shared" si="0"/>
        <v>0</v>
      </c>
      <c r="N48" s="23">
        <f t="shared" si="6"/>
        <v>749.86949847999904</v>
      </c>
      <c r="O48" s="18">
        <f t="shared" si="1"/>
        <v>74986.949847999902</v>
      </c>
    </row>
    <row r="49" spans="2:15">
      <c r="B49" s="12">
        <v>46</v>
      </c>
      <c r="C49" s="13" t="s">
        <v>131</v>
      </c>
      <c r="D49" s="14" t="s">
        <v>132</v>
      </c>
      <c r="E49" s="14" t="s">
        <v>133</v>
      </c>
      <c r="F49" s="15">
        <v>1</v>
      </c>
      <c r="G49" s="16">
        <v>1</v>
      </c>
      <c r="H49" s="17">
        <f>F49 * G49 * 36169.8495</f>
        <v>36169.849499999997</v>
      </c>
      <c r="I49" s="17">
        <f>F49 * G49 * 532208.57477</f>
        <v>532208.57476999995</v>
      </c>
      <c r="J49" s="17">
        <f>F49 * G49 * 0</f>
        <v>0</v>
      </c>
      <c r="K49" s="17">
        <f>F49 * G49 * 36242.189199</f>
        <v>36242.189199</v>
      </c>
      <c r="L49" s="17">
        <f>F49 * G49 * 110343.261957999</f>
        <v>110343.261957999</v>
      </c>
      <c r="M49" s="17">
        <f t="shared" si="0"/>
        <v>0</v>
      </c>
      <c r="N49" s="23">
        <f t="shared" si="6"/>
        <v>7149.6387542699895</v>
      </c>
      <c r="O49" s="18">
        <f t="shared" si="1"/>
        <v>714963.87542699894</v>
      </c>
    </row>
    <row r="50" spans="2:15" ht="25.5">
      <c r="B50" s="12">
        <v>47</v>
      </c>
      <c r="C50" s="13" t="s">
        <v>134</v>
      </c>
      <c r="D50" s="14" t="s">
        <v>135</v>
      </c>
      <c r="E50" s="14" t="s">
        <v>136</v>
      </c>
      <c r="F50" s="15">
        <v>1</v>
      </c>
      <c r="G50" s="16">
        <v>1</v>
      </c>
      <c r="H50" s="17">
        <f>F50 * G50 * 7307.411079</f>
        <v>7307.4110790000004</v>
      </c>
      <c r="I50" s="17">
        <f>F50 * G50 * 3820.992966</f>
        <v>3820.9929659999998</v>
      </c>
      <c r="J50" s="17">
        <f>F50 * G50 * 0</f>
        <v>0</v>
      </c>
      <c r="K50" s="17">
        <f>F50 * G50 * 7322.025901</f>
        <v>7322.025901</v>
      </c>
      <c r="L50" s="17">
        <f>F50 * G50 * 3367.203465</f>
        <v>3367.2034650000001</v>
      </c>
      <c r="M50" s="17">
        <f t="shared" si="0"/>
        <v>0</v>
      </c>
      <c r="N50" s="23">
        <f t="shared" si="6"/>
        <v>218.17633411</v>
      </c>
      <c r="O50" s="18">
        <f t="shared" si="1"/>
        <v>21817.633410999999</v>
      </c>
    </row>
    <row r="51" spans="2:15" ht="25.5">
      <c r="B51" s="12">
        <v>48</v>
      </c>
      <c r="C51" s="13" t="s">
        <v>137</v>
      </c>
      <c r="D51" s="14" t="s">
        <v>138</v>
      </c>
      <c r="E51" s="14" t="s">
        <v>53</v>
      </c>
      <c r="F51" s="15">
        <v>1</v>
      </c>
      <c r="G51" s="16">
        <v>1</v>
      </c>
      <c r="H51" s="17">
        <f>F51 * G51 * 3333.112181</f>
        <v>3333.112181</v>
      </c>
      <c r="I51" s="17">
        <f>F51 * G51 * 1948.155912</f>
        <v>1948.1559119999999</v>
      </c>
      <c r="J51" s="17">
        <f>F51 * G51 * 0.748</f>
        <v>0.748</v>
      </c>
      <c r="K51" s="17">
        <f>F51 * G51 * 3339.778406</f>
        <v>3339.7784059999999</v>
      </c>
      <c r="L51" s="17">
        <f>F51 * G51 * 1573.477496</f>
        <v>1573.477496</v>
      </c>
      <c r="M51" s="17">
        <f t="shared" si="0"/>
        <v>0</v>
      </c>
      <c r="N51" s="23">
        <f t="shared" si="6"/>
        <v>101.95271994999999</v>
      </c>
      <c r="O51" s="18">
        <f t="shared" si="1"/>
        <v>10195.271994999999</v>
      </c>
    </row>
    <row r="52" spans="2:15" ht="25.5">
      <c r="B52" s="12">
        <v>49</v>
      </c>
      <c r="C52" s="13" t="s">
        <v>139</v>
      </c>
      <c r="D52" s="14" t="s">
        <v>140</v>
      </c>
      <c r="E52" s="14" t="s">
        <v>53</v>
      </c>
      <c r="F52" s="15">
        <v>1</v>
      </c>
      <c r="G52" s="16">
        <v>1</v>
      </c>
      <c r="H52" s="17">
        <f>F52 * G52 * 8189.544</f>
        <v>8189.5439999999999</v>
      </c>
      <c r="I52" s="17">
        <f>F52 * G52 * 4930.63804</f>
        <v>4930.6380399999998</v>
      </c>
      <c r="J52" s="17">
        <f t="shared" ref="J52:J81" si="7">F52 * G52 * 0</f>
        <v>0</v>
      </c>
      <c r="K52" s="17">
        <f>F52 * G52 * 8205.923088</f>
        <v>8205.9230879999996</v>
      </c>
      <c r="L52" s="17">
        <f>F52 * G52 * 3892.014186</f>
        <v>3892.0141859999999</v>
      </c>
      <c r="M52" s="17">
        <f t="shared" si="0"/>
        <v>0</v>
      </c>
      <c r="N52" s="23">
        <f t="shared" si="6"/>
        <v>252.18119314</v>
      </c>
      <c r="O52" s="18">
        <f t="shared" si="1"/>
        <v>25218.119314</v>
      </c>
    </row>
    <row r="53" spans="2:15" ht="38.25">
      <c r="B53" s="12">
        <v>50</v>
      </c>
      <c r="C53" s="13" t="s">
        <v>141</v>
      </c>
      <c r="D53" s="14" t="s">
        <v>30</v>
      </c>
      <c r="E53" s="14" t="s">
        <v>31</v>
      </c>
      <c r="F53" s="15">
        <v>1</v>
      </c>
      <c r="G53" s="16">
        <v>1</v>
      </c>
      <c r="H53" s="17">
        <f>F53 * G53 * 23417.0265</f>
        <v>23417.0265</v>
      </c>
      <c r="I53" s="17">
        <f>F53 * G53 * 56350.223808</f>
        <v>56350.223808000002</v>
      </c>
      <c r="J53" s="17">
        <f t="shared" si="7"/>
        <v>0</v>
      </c>
      <c r="K53" s="17">
        <f>F53 * G53 * 23463.860553</f>
        <v>23463.860552999999</v>
      </c>
      <c r="L53" s="17">
        <f>F53 * G53 * 18839.677733</f>
        <v>18839.677733</v>
      </c>
      <c r="M53" s="17">
        <f t="shared" si="0"/>
        <v>0</v>
      </c>
      <c r="N53" s="23">
        <f t="shared" si="6"/>
        <v>1220.7078859399999</v>
      </c>
      <c r="O53" s="18">
        <f t="shared" si="1"/>
        <v>122070.788594</v>
      </c>
    </row>
    <row r="54" spans="2:15" ht="38.25">
      <c r="B54" s="12">
        <v>51</v>
      </c>
      <c r="C54" s="13" t="s">
        <v>142</v>
      </c>
      <c r="D54" s="14" t="s">
        <v>143</v>
      </c>
      <c r="E54" s="14" t="s">
        <v>31</v>
      </c>
      <c r="F54" s="15">
        <v>1</v>
      </c>
      <c r="G54" s="16">
        <v>1</v>
      </c>
      <c r="H54" s="17">
        <f>F54 * G54 * 29773.6275</f>
        <v>29773.627499999999</v>
      </c>
      <c r="I54" s="17">
        <f>F54 * G54 * 11314.877126</f>
        <v>11314.877125999999</v>
      </c>
      <c r="J54" s="17">
        <f t="shared" si="7"/>
        <v>0</v>
      </c>
      <c r="K54" s="17">
        <f>F54 * G54 * 29833.174755</f>
        <v>29833.174755</v>
      </c>
      <c r="L54" s="17">
        <f>F54 * G54 * 12943.206487</f>
        <v>12943.206486999999</v>
      </c>
      <c r="M54" s="17">
        <f t="shared" si="0"/>
        <v>0</v>
      </c>
      <c r="N54" s="23">
        <f t="shared" si="6"/>
        <v>838.64885867999999</v>
      </c>
      <c r="O54" s="18">
        <f t="shared" si="1"/>
        <v>83864.885867999998</v>
      </c>
    </row>
    <row r="55" spans="2:15" ht="25.5">
      <c r="B55" s="12">
        <v>52</v>
      </c>
      <c r="C55" s="13" t="s">
        <v>144</v>
      </c>
      <c r="D55" s="14" t="s">
        <v>145</v>
      </c>
      <c r="E55" s="14" t="s">
        <v>146</v>
      </c>
      <c r="F55" s="15">
        <v>1</v>
      </c>
      <c r="G55" s="16">
        <v>1</v>
      </c>
      <c r="H55" s="17">
        <f>F55 * G55 * 15262.332</f>
        <v>15262.332</v>
      </c>
      <c r="I55" s="17">
        <f>F55 * G55 * 41935.877072</f>
        <v>41935.877072000003</v>
      </c>
      <c r="J55" s="17">
        <f t="shared" si="7"/>
        <v>0</v>
      </c>
      <c r="K55" s="17">
        <f>F55 * G55 * 15292.856664</f>
        <v>15292.856664000001</v>
      </c>
      <c r="L55" s="17">
        <f>F55 * G55 * 13229.619497</f>
        <v>13229.619497</v>
      </c>
      <c r="M55" s="17">
        <f t="shared" si="0"/>
        <v>0</v>
      </c>
      <c r="N55" s="23">
        <f t="shared" si="6"/>
        <v>857.20685232999995</v>
      </c>
      <c r="O55" s="18">
        <f t="shared" si="1"/>
        <v>85720.685232999997</v>
      </c>
    </row>
    <row r="56" spans="2:15" ht="25.5">
      <c r="B56" s="12">
        <v>53</v>
      </c>
      <c r="C56" s="13" t="s">
        <v>147</v>
      </c>
      <c r="D56" s="14" t="s">
        <v>148</v>
      </c>
      <c r="E56" s="14" t="s">
        <v>146</v>
      </c>
      <c r="F56" s="15">
        <v>1</v>
      </c>
      <c r="G56" s="16">
        <v>1</v>
      </c>
      <c r="H56" s="17">
        <f>F56 * G56 * 21590.616</f>
        <v>21590.616000000002</v>
      </c>
      <c r="I56" s="17">
        <f>F56 * G56 * 72506.236724</f>
        <v>72506.236724000002</v>
      </c>
      <c r="J56" s="17">
        <f t="shared" si="7"/>
        <v>0</v>
      </c>
      <c r="K56" s="17">
        <f>F56 * G56 * 21633.797232</f>
        <v>21633.797232000001</v>
      </c>
      <c r="L56" s="17">
        <f>F56 * G56 * 21120.843617</f>
        <v>21120.843616999999</v>
      </c>
      <c r="M56" s="17">
        <f t="shared" si="0"/>
        <v>0</v>
      </c>
      <c r="N56" s="23">
        <f t="shared" si="6"/>
        <v>1368.5149357299999</v>
      </c>
      <c r="O56" s="18">
        <f t="shared" si="1"/>
        <v>136851.49357299999</v>
      </c>
    </row>
    <row r="57" spans="2:15" ht="25.5">
      <c r="B57" s="12">
        <v>54</v>
      </c>
      <c r="C57" s="13" t="s">
        <v>149</v>
      </c>
      <c r="D57" s="14" t="s">
        <v>150</v>
      </c>
      <c r="E57" s="14" t="s">
        <v>151</v>
      </c>
      <c r="F57" s="15">
        <v>1</v>
      </c>
      <c r="G57" s="16">
        <v>1</v>
      </c>
      <c r="H57" s="17">
        <f>F57 * G57 * 21962.868</f>
        <v>21962.867999999999</v>
      </c>
      <c r="I57" s="17">
        <f>F57 * G57 * 46788.805489</f>
        <v>46788.805488999998</v>
      </c>
      <c r="J57" s="17">
        <f t="shared" si="7"/>
        <v>0</v>
      </c>
      <c r="K57" s="17">
        <f>F57 * G57 * 22006.793736</f>
        <v>22006.793736</v>
      </c>
      <c r="L57" s="17">
        <f>F57 * G57 * 16563.420269</f>
        <v>16563.420268999998</v>
      </c>
      <c r="M57" s="17">
        <f t="shared" si="0"/>
        <v>0</v>
      </c>
      <c r="N57" s="23">
        <f t="shared" si="6"/>
        <v>1073.21887494</v>
      </c>
      <c r="O57" s="18">
        <f t="shared" si="1"/>
        <v>107321.887494</v>
      </c>
    </row>
    <row r="58" spans="2:15" ht="25.5">
      <c r="B58" s="12">
        <v>55</v>
      </c>
      <c r="C58" s="13" t="s">
        <v>152</v>
      </c>
      <c r="D58" s="14" t="s">
        <v>153</v>
      </c>
      <c r="E58" s="14" t="s">
        <v>53</v>
      </c>
      <c r="F58" s="15">
        <v>1</v>
      </c>
      <c r="G58" s="16">
        <v>1</v>
      </c>
      <c r="H58" s="17">
        <f>F58 * G58 * 2233.512</f>
        <v>2233.5120000000002</v>
      </c>
      <c r="I58" s="17">
        <f>F58 * G58 * 5129.042434</f>
        <v>5129.042434</v>
      </c>
      <c r="J58" s="17">
        <f t="shared" si="7"/>
        <v>0</v>
      </c>
      <c r="K58" s="17">
        <f>F58 * G58 * 2237.979024</f>
        <v>2237.9790240000002</v>
      </c>
      <c r="L58" s="17">
        <f>F58 * G58 * 1752.097356</f>
        <v>1752.097356</v>
      </c>
      <c r="M58" s="17">
        <f t="shared" si="0"/>
        <v>0</v>
      </c>
      <c r="N58" s="23">
        <f t="shared" si="6"/>
        <v>113.52630814</v>
      </c>
      <c r="O58" s="18">
        <f t="shared" si="1"/>
        <v>11352.630814</v>
      </c>
    </row>
    <row r="59" spans="2:15">
      <c r="B59" s="12">
        <v>56</v>
      </c>
      <c r="C59" s="13" t="s">
        <v>154</v>
      </c>
      <c r="D59" s="14" t="s">
        <v>155</v>
      </c>
      <c r="E59" s="14" t="s">
        <v>156</v>
      </c>
      <c r="F59" s="15">
        <v>1</v>
      </c>
      <c r="G59" s="16">
        <v>1</v>
      </c>
      <c r="H59" s="17">
        <f>F59 * G59 * 10321.5242</f>
        <v>10321.5242</v>
      </c>
      <c r="I59" s="17">
        <f>F59 * G59 * 57543.837749</f>
        <v>57543.837748999998</v>
      </c>
      <c r="J59" s="17">
        <f t="shared" si="7"/>
        <v>0</v>
      </c>
      <c r="K59" s="17">
        <f>F59 * G59 * 10342.167248</f>
        <v>10342.167248</v>
      </c>
      <c r="L59" s="17">
        <f>F59 * G59 * 14272.874079</f>
        <v>14272.874078999999</v>
      </c>
      <c r="M59" s="17">
        <f t="shared" si="0"/>
        <v>0</v>
      </c>
      <c r="N59" s="23">
        <f t="shared" si="6"/>
        <v>924.80403275999993</v>
      </c>
      <c r="O59" s="18">
        <f t="shared" si="1"/>
        <v>92480.403275999997</v>
      </c>
    </row>
    <row r="60" spans="2:15">
      <c r="B60" s="12">
        <v>57</v>
      </c>
      <c r="C60" s="13" t="s">
        <v>157</v>
      </c>
      <c r="D60" s="14" t="s">
        <v>158</v>
      </c>
      <c r="E60" s="14" t="s">
        <v>156</v>
      </c>
      <c r="F60" s="15">
        <v>1</v>
      </c>
      <c r="G60" s="16">
        <v>1</v>
      </c>
      <c r="H60" s="17">
        <f>F60 * G60 * 23818.902</f>
        <v>23818.901999999998</v>
      </c>
      <c r="I60" s="17">
        <f>F60 * G60 * 57543.837749</f>
        <v>57543.837748999998</v>
      </c>
      <c r="J60" s="17">
        <f t="shared" si="7"/>
        <v>0</v>
      </c>
      <c r="K60" s="17">
        <f>F60 * G60 * 23866.539804</f>
        <v>23866.539804</v>
      </c>
      <c r="L60" s="17">
        <f>F60 * G60 * 19204.343518</f>
        <v>19204.343518000001</v>
      </c>
      <c r="M60" s="17">
        <f t="shared" si="0"/>
        <v>0</v>
      </c>
      <c r="N60" s="23">
        <f t="shared" si="6"/>
        <v>1244.3362307100001</v>
      </c>
      <c r="O60" s="18">
        <f t="shared" si="1"/>
        <v>124433.62307100001</v>
      </c>
    </row>
    <row r="61" spans="2:15">
      <c r="B61" s="12">
        <v>58</v>
      </c>
      <c r="C61" s="13" t="s">
        <v>159</v>
      </c>
      <c r="D61" s="14" t="s">
        <v>160</v>
      </c>
      <c r="E61" s="14" t="s">
        <v>156</v>
      </c>
      <c r="F61" s="15">
        <v>1</v>
      </c>
      <c r="G61" s="16">
        <v>1</v>
      </c>
      <c r="H61" s="17">
        <f>F61 * G61 * 7542.6523</f>
        <v>7542.6522999999997</v>
      </c>
      <c r="I61" s="17">
        <f>F61 * G61 * 32168.261032</f>
        <v>32168.261031999999</v>
      </c>
      <c r="J61" s="17">
        <f t="shared" si="7"/>
        <v>0</v>
      </c>
      <c r="K61" s="17">
        <f>F61 * G61 * 7557.737605</f>
        <v>7557.7376050000003</v>
      </c>
      <c r="L61" s="17">
        <f>F61 * G61 * 8626.528796</f>
        <v>8626.5287960000005</v>
      </c>
      <c r="M61" s="17">
        <f t="shared" si="0"/>
        <v>0</v>
      </c>
      <c r="N61" s="23">
        <f t="shared" si="6"/>
        <v>558.95179732999998</v>
      </c>
      <c r="O61" s="18">
        <f t="shared" si="1"/>
        <v>55895.179732999997</v>
      </c>
    </row>
    <row r="62" spans="2:15">
      <c r="B62" s="12">
        <v>59</v>
      </c>
      <c r="C62" s="13" t="s">
        <v>161</v>
      </c>
      <c r="D62" s="14" t="s">
        <v>162</v>
      </c>
      <c r="E62" s="14" t="s">
        <v>163</v>
      </c>
      <c r="F62" s="15">
        <v>1</v>
      </c>
      <c r="G62" s="16">
        <v>1</v>
      </c>
      <c r="H62" s="17">
        <f>F62 * G62 * 11313.97845</f>
        <v>11313.978450000001</v>
      </c>
      <c r="I62" s="17">
        <f>F62 * G62 * 40117.80527</f>
        <v>40117.805269999997</v>
      </c>
      <c r="J62" s="17">
        <f t="shared" si="7"/>
        <v>0</v>
      </c>
      <c r="K62" s="17">
        <f>F62 * G62 * 11336.606407</f>
        <v>11336.606406999999</v>
      </c>
      <c r="L62" s="17">
        <f>F62 * G62 * 11455.231199</f>
        <v>11455.231199</v>
      </c>
      <c r="M62" s="17">
        <f t="shared" si="0"/>
        <v>0</v>
      </c>
      <c r="N62" s="23">
        <f t="shared" si="6"/>
        <v>742.23621325999989</v>
      </c>
      <c r="O62" s="18">
        <f t="shared" si="1"/>
        <v>74223.621325999993</v>
      </c>
    </row>
    <row r="63" spans="2:15" ht="25.5">
      <c r="B63" s="12">
        <v>60</v>
      </c>
      <c r="C63" s="13" t="s">
        <v>164</v>
      </c>
      <c r="D63" s="14" t="s">
        <v>165</v>
      </c>
      <c r="E63" s="14" t="s">
        <v>53</v>
      </c>
      <c r="F63" s="15">
        <v>1</v>
      </c>
      <c r="G63" s="16">
        <v>1</v>
      </c>
      <c r="H63" s="17">
        <f>F63 * G63 * 4094.772</f>
        <v>4094.7719999999999</v>
      </c>
      <c r="I63" s="17">
        <f>F63 * G63 * 2830.571775</f>
        <v>2830.5717749999999</v>
      </c>
      <c r="J63" s="17">
        <f t="shared" si="7"/>
        <v>0</v>
      </c>
      <c r="K63" s="17">
        <f>F63 * G63 * 4102.961544</f>
        <v>4102.9615439999998</v>
      </c>
      <c r="L63" s="17">
        <f>F63 * G63 * 2012.66572099999</f>
        <v>2012.6657209999901</v>
      </c>
      <c r="M63" s="17">
        <f t="shared" si="0"/>
        <v>0</v>
      </c>
      <c r="N63" s="23">
        <f t="shared" si="6"/>
        <v>130.40971039999988</v>
      </c>
      <c r="O63" s="18">
        <f t="shared" si="1"/>
        <v>13040.971039999989</v>
      </c>
    </row>
    <row r="64" spans="2:15" ht="25.5">
      <c r="B64" s="12">
        <v>61</v>
      </c>
      <c r="C64" s="13" t="s">
        <v>166</v>
      </c>
      <c r="D64" s="14" t="s">
        <v>167</v>
      </c>
      <c r="E64" s="14" t="s">
        <v>146</v>
      </c>
      <c r="F64" s="15">
        <v>1</v>
      </c>
      <c r="G64" s="16">
        <v>1</v>
      </c>
      <c r="H64" s="17">
        <f>F64 * G64 * 12284.316</f>
        <v>12284.316000000001</v>
      </c>
      <c r="I64" s="17">
        <f>F64 * G64 * 41321.331878</f>
        <v>41321.331877999997</v>
      </c>
      <c r="J64" s="17">
        <f t="shared" si="7"/>
        <v>0</v>
      </c>
      <c r="K64" s="17">
        <f>F64 * G64 * 12308.884632</f>
        <v>12308.884631999999</v>
      </c>
      <c r="L64" s="17">
        <f>F64 * G64 * 12029.402183</f>
        <v>12029.402183</v>
      </c>
      <c r="M64" s="17">
        <f t="shared" si="0"/>
        <v>0</v>
      </c>
      <c r="N64" s="23">
        <f t="shared" si="6"/>
        <v>779.43934692999983</v>
      </c>
      <c r="O64" s="18">
        <f t="shared" si="1"/>
        <v>77943.934692999988</v>
      </c>
    </row>
    <row r="65" spans="2:15" ht="25.5">
      <c r="B65" s="12">
        <v>62</v>
      </c>
      <c r="C65" s="13" t="s">
        <v>168</v>
      </c>
      <c r="D65" s="14" t="s">
        <v>169</v>
      </c>
      <c r="E65" s="14" t="s">
        <v>170</v>
      </c>
      <c r="F65" s="15">
        <v>1</v>
      </c>
      <c r="G65" s="16">
        <v>1</v>
      </c>
      <c r="H65" s="17">
        <f>F65 * G65 * 15820.71</f>
        <v>15820.71</v>
      </c>
      <c r="I65" s="17">
        <f>F65 * G65 * 29538.533063</f>
        <v>29538.533062999999</v>
      </c>
      <c r="J65" s="17">
        <f t="shared" si="7"/>
        <v>0</v>
      </c>
      <c r="K65" s="17">
        <f>F65 * G65 * 15852.3514199999</f>
        <v>15852.351419999901</v>
      </c>
      <c r="L65" s="17">
        <f>F65 * G65 * 11171.115993</f>
        <v>11171.115992999999</v>
      </c>
      <c r="M65" s="17">
        <f t="shared" si="0"/>
        <v>0</v>
      </c>
      <c r="N65" s="23">
        <f t="shared" si="6"/>
        <v>723.82710475999909</v>
      </c>
      <c r="O65" s="18">
        <f t="shared" si="1"/>
        <v>72382.710475999906</v>
      </c>
    </row>
    <row r="66" spans="2:15" ht="25.5">
      <c r="B66" s="12">
        <v>63</v>
      </c>
      <c r="C66" s="13" t="s">
        <v>171</v>
      </c>
      <c r="D66" s="14" t="s">
        <v>172</v>
      </c>
      <c r="E66" s="14" t="s">
        <v>170</v>
      </c>
      <c r="F66" s="15">
        <v>1</v>
      </c>
      <c r="G66" s="16">
        <v>1</v>
      </c>
      <c r="H66" s="17">
        <f>F66 * G66 * 40389.342</f>
        <v>40389.341999999997</v>
      </c>
      <c r="I66" s="17">
        <f>F66 * G66 * 29538.533063</f>
        <v>29538.533062999999</v>
      </c>
      <c r="J66" s="17">
        <f t="shared" si="7"/>
        <v>0</v>
      </c>
      <c r="K66" s="17">
        <f>F66 * G66 * 40470.120684</f>
        <v>40470.120684000001</v>
      </c>
      <c r="L66" s="17">
        <f>F66 * G66 * 20147.634224</f>
        <v>20147.634224000001</v>
      </c>
      <c r="M66" s="17">
        <f t="shared" si="0"/>
        <v>0</v>
      </c>
      <c r="N66" s="23">
        <f t="shared" si="6"/>
        <v>1305.4562997100002</v>
      </c>
      <c r="O66" s="18">
        <f t="shared" si="1"/>
        <v>130545.62997100002</v>
      </c>
    </row>
    <row r="67" spans="2:15" ht="25.5">
      <c r="B67" s="12">
        <v>64</v>
      </c>
      <c r="C67" s="13" t="s">
        <v>173</v>
      </c>
      <c r="D67" s="14" t="s">
        <v>174</v>
      </c>
      <c r="E67" s="14" t="s">
        <v>53</v>
      </c>
      <c r="F67" s="15">
        <v>1</v>
      </c>
      <c r="G67" s="16">
        <v>1</v>
      </c>
      <c r="H67" s="17">
        <f>F67 * G67 * 9864.678</f>
        <v>9864.6779999999999</v>
      </c>
      <c r="I67" s="17">
        <f>F67 * G67 * 4967.006524</f>
        <v>4967.0065240000004</v>
      </c>
      <c r="J67" s="17">
        <f t="shared" si="7"/>
        <v>0</v>
      </c>
      <c r="K67" s="17">
        <f>F67 * G67 * 9884.407356</f>
        <v>9884.4073559999997</v>
      </c>
      <c r="L67" s="17">
        <f>F67 * G67 * 4510.686768</f>
        <v>4510.6867679999996</v>
      </c>
      <c r="M67" s="17">
        <f t="shared" si="0"/>
        <v>0</v>
      </c>
      <c r="N67" s="23">
        <f t="shared" si="6"/>
        <v>292.26778647999998</v>
      </c>
      <c r="O67" s="18">
        <f t="shared" si="1"/>
        <v>29226.778648</v>
      </c>
    </row>
    <row r="68" spans="2:15">
      <c r="B68" s="12">
        <v>65</v>
      </c>
      <c r="C68" s="13" t="s">
        <v>175</v>
      </c>
      <c r="D68" s="14" t="s">
        <v>176</v>
      </c>
      <c r="E68" s="14" t="s">
        <v>177</v>
      </c>
      <c r="F68" s="15">
        <v>1</v>
      </c>
      <c r="G68" s="16">
        <v>1</v>
      </c>
      <c r="H68" s="17">
        <f>F68 * G68 * 10609.182</f>
        <v>10609.182000000001</v>
      </c>
      <c r="I68" s="17">
        <f>F68 * G68 * 10133.974719</f>
        <v>10133.974719</v>
      </c>
      <c r="J68" s="17">
        <f t="shared" si="7"/>
        <v>0</v>
      </c>
      <c r="K68" s="17">
        <f>F68 * G68 * 10630.400364</f>
        <v>10630.400363999999</v>
      </c>
      <c r="L68" s="17">
        <f>F68 * G68 * 5725.67416699999</f>
        <v>5725.6741669999901</v>
      </c>
      <c r="M68" s="17">
        <f t="shared" ref="M68:M131" si="8">F68 * G68 * 0</f>
        <v>0</v>
      </c>
      <c r="N68" s="23">
        <f t="shared" si="6"/>
        <v>370.99231249999991</v>
      </c>
      <c r="O68" s="18">
        <f t="shared" ref="O68:O131" si="9">SUM(H68:M68)</f>
        <v>37099.23124999999</v>
      </c>
    </row>
    <row r="69" spans="2:15">
      <c r="B69" s="12">
        <v>66</v>
      </c>
      <c r="C69" s="13" t="s">
        <v>178</v>
      </c>
      <c r="D69" s="14" t="s">
        <v>179</v>
      </c>
      <c r="E69" s="14" t="s">
        <v>180</v>
      </c>
      <c r="F69" s="15">
        <v>1</v>
      </c>
      <c r="G69" s="16">
        <v>1</v>
      </c>
      <c r="H69" s="17">
        <f>F69 * G69 * 13285.677096</f>
        <v>13285.677095999999</v>
      </c>
      <c r="I69" s="17">
        <f>F69 * G69 * 15605.602491</f>
        <v>15605.602491</v>
      </c>
      <c r="J69" s="17">
        <f t="shared" si="7"/>
        <v>0</v>
      </c>
      <c r="K69" s="17">
        <f>F69 * G69 * 13312.24845</f>
        <v>13312.248449999999</v>
      </c>
      <c r="L69" s="17">
        <f>F69 * G69 * 7702.143867</f>
        <v>7702.1438669999998</v>
      </c>
      <c r="M69" s="17">
        <f t="shared" si="8"/>
        <v>0</v>
      </c>
      <c r="N69" s="23">
        <f>O69/G69/F69/10</f>
        <v>4990.5671903999992</v>
      </c>
      <c r="O69" s="18">
        <f t="shared" si="9"/>
        <v>49905.671903999995</v>
      </c>
    </row>
    <row r="70" spans="2:15">
      <c r="B70" s="12">
        <v>67</v>
      </c>
      <c r="C70" s="13" t="s">
        <v>181</v>
      </c>
      <c r="D70" s="14" t="s">
        <v>182</v>
      </c>
      <c r="E70" s="14" t="s">
        <v>180</v>
      </c>
      <c r="F70" s="15">
        <v>1</v>
      </c>
      <c r="G70" s="16">
        <v>1</v>
      </c>
      <c r="H70" s="17">
        <f>F70 * G70 * 36917.031088</f>
        <v>36917.031088000003</v>
      </c>
      <c r="I70" s="17">
        <f>F70 * G70 * 20104.459903</f>
        <v>20104.459902999999</v>
      </c>
      <c r="J70" s="17">
        <f t="shared" si="7"/>
        <v>0</v>
      </c>
      <c r="K70" s="17">
        <f>F70 * G70 * 36990.865151</f>
        <v>36990.865150999998</v>
      </c>
      <c r="L70" s="17">
        <f>F70 * G70 * 17157.254996</f>
        <v>17157.254996</v>
      </c>
      <c r="M70" s="17">
        <f t="shared" si="8"/>
        <v>0</v>
      </c>
      <c r="N70" s="23">
        <f>O70/G70/F70/10</f>
        <v>11116.9611138</v>
      </c>
      <c r="O70" s="18">
        <f t="shared" si="9"/>
        <v>111169.61113800001</v>
      </c>
    </row>
    <row r="71" spans="2:15" ht="38.25">
      <c r="B71" s="12">
        <v>68</v>
      </c>
      <c r="C71" s="13" t="s">
        <v>183</v>
      </c>
      <c r="D71" s="14" t="s">
        <v>184</v>
      </c>
      <c r="E71" s="14" t="s">
        <v>185</v>
      </c>
      <c r="F71" s="15">
        <v>1</v>
      </c>
      <c r="G71" s="16">
        <v>1</v>
      </c>
      <c r="H71" s="17">
        <f>F71 * G71 * 14467.9398</f>
        <v>14467.9398</v>
      </c>
      <c r="I71" s="17">
        <f>F71 * G71 * 7207.277964</f>
        <v>7207.2779639999999</v>
      </c>
      <c r="J71" s="17">
        <f t="shared" si="7"/>
        <v>0</v>
      </c>
      <c r="K71" s="17">
        <f>F71 * G71 * 14496.87568</f>
        <v>14496.875679999999</v>
      </c>
      <c r="L71" s="17">
        <f>F71 * G71 * 6601.407053</f>
        <v>6601.4070529999999</v>
      </c>
      <c r="M71" s="17">
        <f t="shared" si="8"/>
        <v>0</v>
      </c>
      <c r="N71" s="23">
        <f t="shared" si="6"/>
        <v>427.73500497000003</v>
      </c>
      <c r="O71" s="18">
        <f t="shared" si="9"/>
        <v>42773.500497000001</v>
      </c>
    </row>
    <row r="72" spans="2:15" ht="38.25">
      <c r="B72" s="12">
        <v>69</v>
      </c>
      <c r="C72" s="13" t="s">
        <v>186</v>
      </c>
      <c r="D72" s="14" t="s">
        <v>187</v>
      </c>
      <c r="E72" s="14" t="s">
        <v>185</v>
      </c>
      <c r="F72" s="15">
        <v>1</v>
      </c>
      <c r="G72" s="16">
        <v>1</v>
      </c>
      <c r="H72" s="17">
        <f>F72 * G72 * 20567.93604</f>
        <v>20567.936040000001</v>
      </c>
      <c r="I72" s="17">
        <f>F72 * G72 * 9340.138862</f>
        <v>9340.1388619999998</v>
      </c>
      <c r="J72" s="17">
        <f t="shared" si="7"/>
        <v>0</v>
      </c>
      <c r="K72" s="17">
        <f>F72 * G72 * 20609.071912</f>
        <v>20609.071911999999</v>
      </c>
      <c r="L72" s="17">
        <f>F72 * G72 * 9219.379294</f>
        <v>9219.3792940000003</v>
      </c>
      <c r="M72" s="17">
        <f t="shared" si="8"/>
        <v>0</v>
      </c>
      <c r="N72" s="23">
        <f t="shared" si="6"/>
        <v>597.36526107999998</v>
      </c>
      <c r="O72" s="18">
        <f t="shared" si="9"/>
        <v>59736.526107999998</v>
      </c>
    </row>
    <row r="73" spans="2:15" ht="25.5">
      <c r="B73" s="12">
        <v>70</v>
      </c>
      <c r="C73" s="13" t="s">
        <v>188</v>
      </c>
      <c r="D73" s="14" t="s">
        <v>189</v>
      </c>
      <c r="E73" s="14" t="s">
        <v>190</v>
      </c>
      <c r="F73" s="15">
        <v>1</v>
      </c>
      <c r="G73" s="16">
        <v>1</v>
      </c>
      <c r="H73" s="17">
        <f>F73 * G73 * 1189.30896</f>
        <v>1189.3089600000001</v>
      </c>
      <c r="I73" s="17">
        <f>F73 * G73 * 366.782741</f>
        <v>366.78274099999999</v>
      </c>
      <c r="J73" s="17">
        <f t="shared" si="7"/>
        <v>0</v>
      </c>
      <c r="K73" s="17">
        <f>F73 * G73 * 1191.687578</f>
        <v>1191.687578</v>
      </c>
      <c r="L73" s="17">
        <f>F73 * G73 * 501.469718</f>
        <v>501.469718</v>
      </c>
      <c r="M73" s="17">
        <f t="shared" si="8"/>
        <v>0</v>
      </c>
      <c r="N73" s="23">
        <f>O73/G73/F73/10</f>
        <v>324.92489970000003</v>
      </c>
      <c r="O73" s="18">
        <f t="shared" si="9"/>
        <v>3249.2489970000001</v>
      </c>
    </row>
    <row r="74" spans="2:15" ht="25.5">
      <c r="B74" s="12">
        <v>71</v>
      </c>
      <c r="C74" s="13" t="s">
        <v>191</v>
      </c>
      <c r="D74" s="14" t="s">
        <v>192</v>
      </c>
      <c r="E74" s="14" t="s">
        <v>190</v>
      </c>
      <c r="F74" s="15">
        <v>1</v>
      </c>
      <c r="G74" s="16">
        <v>1</v>
      </c>
      <c r="H74" s="17">
        <f>F74 * G74 * 1101.212</f>
        <v>1101.212</v>
      </c>
      <c r="I74" s="17">
        <f>F74 * G74 * 368.442645</f>
        <v>368.44264500000003</v>
      </c>
      <c r="J74" s="17">
        <f t="shared" si="7"/>
        <v>0</v>
      </c>
      <c r="K74" s="17">
        <f>F74 * G74 * 1103.414424</f>
        <v>1103.4144240000001</v>
      </c>
      <c r="L74" s="17">
        <f>F74 * G74 * 469.585105</f>
        <v>469.585105</v>
      </c>
      <c r="M74" s="17">
        <f t="shared" si="8"/>
        <v>0</v>
      </c>
      <c r="N74" s="23">
        <f>O74/G74/F74/10</f>
        <v>304.26541740000005</v>
      </c>
      <c r="O74" s="18">
        <f t="shared" si="9"/>
        <v>3042.6541740000002</v>
      </c>
    </row>
    <row r="75" spans="2:15" ht="25.5">
      <c r="B75" s="12">
        <v>72</v>
      </c>
      <c r="C75" s="13" t="s">
        <v>193</v>
      </c>
      <c r="D75" s="14" t="s">
        <v>194</v>
      </c>
      <c r="E75" s="14" t="s">
        <v>195</v>
      </c>
      <c r="F75" s="15">
        <v>1</v>
      </c>
      <c r="G75" s="16">
        <v>1</v>
      </c>
      <c r="H75" s="17">
        <f>F75 * G75 * 35.192286</f>
        <v>35.192286000000003</v>
      </c>
      <c r="I75" s="17">
        <f>F75 * G75 * 99.495436</f>
        <v>99.495435999999998</v>
      </c>
      <c r="J75" s="17">
        <f t="shared" si="7"/>
        <v>0</v>
      </c>
      <c r="K75" s="17">
        <f>F75 * G75 * 35.26267</f>
        <v>35.26267</v>
      </c>
      <c r="L75" s="17">
        <f>F75 * G75 * 31.015946</f>
        <v>31.015946</v>
      </c>
      <c r="M75" s="17">
        <f t="shared" si="8"/>
        <v>0</v>
      </c>
      <c r="N75" s="23">
        <f>O75/G75/F75</f>
        <v>200.96633800000001</v>
      </c>
      <c r="O75" s="18">
        <f t="shared" si="9"/>
        <v>200.96633800000001</v>
      </c>
    </row>
    <row r="76" spans="2:15">
      <c r="B76" s="12">
        <v>73</v>
      </c>
      <c r="C76" s="13" t="s">
        <v>196</v>
      </c>
      <c r="D76" s="14" t="s">
        <v>197</v>
      </c>
      <c r="E76" s="14" t="s">
        <v>195</v>
      </c>
      <c r="F76" s="15">
        <v>1</v>
      </c>
      <c r="G76" s="16">
        <v>1</v>
      </c>
      <c r="H76" s="17">
        <f>F76 * G76 * 11.730762</f>
        <v>11.730762</v>
      </c>
      <c r="I76" s="17">
        <f>F76 * G76 * 1.421245</f>
        <v>1.4212450000000001</v>
      </c>
      <c r="J76" s="17">
        <f t="shared" si="7"/>
        <v>0</v>
      </c>
      <c r="K76" s="17">
        <f>F76 * G76 * 11.754223</f>
        <v>11.754223</v>
      </c>
      <c r="L76" s="17">
        <f>F76 * G76 * 4.545387</f>
        <v>4.5453869999999998</v>
      </c>
      <c r="M76" s="17">
        <f t="shared" si="8"/>
        <v>0</v>
      </c>
      <c r="N76" s="23">
        <f t="shared" ref="N76:N78" si="10">O76/G76/F76</f>
        <v>29.451616999999999</v>
      </c>
      <c r="O76" s="18">
        <f t="shared" si="9"/>
        <v>29.451616999999999</v>
      </c>
    </row>
    <row r="77" spans="2:15">
      <c r="B77" s="12">
        <v>74</v>
      </c>
      <c r="C77" s="13" t="s">
        <v>198</v>
      </c>
      <c r="D77" s="14" t="s">
        <v>199</v>
      </c>
      <c r="E77" s="14" t="s">
        <v>200</v>
      </c>
      <c r="F77" s="15">
        <v>1</v>
      </c>
      <c r="G77" s="16">
        <v>1</v>
      </c>
      <c r="H77" s="17">
        <f>F77 * G77 * 103.513928</f>
        <v>103.51392800000001</v>
      </c>
      <c r="I77" s="17">
        <f>F77 * G77 * 72.631193</f>
        <v>72.631192999999996</v>
      </c>
      <c r="J77" s="17">
        <f t="shared" si="7"/>
        <v>0</v>
      </c>
      <c r="K77" s="17">
        <f>F77 * G77 * 103.720956</f>
        <v>103.720956</v>
      </c>
      <c r="L77" s="17">
        <f>F77 * G77 * 51.075559</f>
        <v>51.075558999999998</v>
      </c>
      <c r="M77" s="17">
        <f t="shared" si="8"/>
        <v>0</v>
      </c>
      <c r="N77" s="23">
        <f t="shared" si="10"/>
        <v>330.94163600000002</v>
      </c>
      <c r="O77" s="18">
        <f t="shared" si="9"/>
        <v>330.94163600000002</v>
      </c>
    </row>
    <row r="78" spans="2:15">
      <c r="B78" s="12">
        <v>75</v>
      </c>
      <c r="C78" s="13" t="s">
        <v>201</v>
      </c>
      <c r="D78" s="14" t="s">
        <v>202</v>
      </c>
      <c r="E78" s="14" t="s">
        <v>203</v>
      </c>
      <c r="F78" s="15">
        <v>1</v>
      </c>
      <c r="G78" s="16">
        <v>1</v>
      </c>
      <c r="H78" s="17">
        <f>F78 * G78 * 29.326905</f>
        <v>29.326905</v>
      </c>
      <c r="I78" s="17">
        <f>F78 * G78 * 162.909106</f>
        <v>162.90910600000001</v>
      </c>
      <c r="J78" s="17">
        <f t="shared" si="7"/>
        <v>0</v>
      </c>
      <c r="K78" s="17">
        <f>F78 * G78 * 29.385558</f>
        <v>29.385558</v>
      </c>
      <c r="L78" s="17">
        <f>F78 * G78 * 40.445937</f>
        <v>40.445937000000001</v>
      </c>
      <c r="M78" s="17">
        <f t="shared" si="8"/>
        <v>0</v>
      </c>
      <c r="N78" s="23">
        <f t="shared" si="10"/>
        <v>262.06750600000004</v>
      </c>
      <c r="O78" s="18">
        <f t="shared" si="9"/>
        <v>262.06750600000004</v>
      </c>
    </row>
    <row r="79" spans="2:15">
      <c r="B79" s="12">
        <v>76</v>
      </c>
      <c r="C79" s="13" t="s">
        <v>204</v>
      </c>
      <c r="D79" s="14" t="s">
        <v>205</v>
      </c>
      <c r="E79" s="14" t="s">
        <v>206</v>
      </c>
      <c r="F79" s="15">
        <v>1</v>
      </c>
      <c r="G79" s="16">
        <v>1</v>
      </c>
      <c r="H79" s="17">
        <f>F79 * G79 * 11191.146948</f>
        <v>11191.146948</v>
      </c>
      <c r="I79" s="17">
        <f>F79 * G79 * 14772.315881</f>
        <v>14772.315881</v>
      </c>
      <c r="J79" s="17">
        <f t="shared" si="7"/>
        <v>0</v>
      </c>
      <c r="K79" s="17">
        <f>F79 * G79 * 11213.529242</f>
        <v>11213.529242000001</v>
      </c>
      <c r="L79" s="17">
        <f>F79 * G79 * 6784.801053</f>
        <v>6784.8010530000001</v>
      </c>
      <c r="M79" s="17">
        <f t="shared" si="8"/>
        <v>0</v>
      </c>
      <c r="N79" s="23">
        <f t="shared" si="6"/>
        <v>439.61793124000002</v>
      </c>
      <c r="O79" s="18">
        <f t="shared" si="9"/>
        <v>43961.793124000003</v>
      </c>
    </row>
    <row r="80" spans="2:15">
      <c r="B80" s="12">
        <v>77</v>
      </c>
      <c r="C80" s="13" t="s">
        <v>207</v>
      </c>
      <c r="D80" s="14" t="s">
        <v>208</v>
      </c>
      <c r="E80" s="14" t="s">
        <v>209</v>
      </c>
      <c r="F80" s="15">
        <v>1</v>
      </c>
      <c r="G80" s="16">
        <v>1</v>
      </c>
      <c r="H80" s="17">
        <f>F80 * G80 * 20880.7563599999</f>
        <v>20880.756359999901</v>
      </c>
      <c r="I80" s="17">
        <f>F80 * G80 * 65595.571763</f>
        <v>65595.571763</v>
      </c>
      <c r="J80" s="17">
        <f t="shared" si="7"/>
        <v>0</v>
      </c>
      <c r="K80" s="17">
        <f>F80 * G80 * 20922.517873</f>
        <v>20922.517873000001</v>
      </c>
      <c r="L80" s="17">
        <f>F80 * G80 * 19600.289395</f>
        <v>19600.289395</v>
      </c>
      <c r="M80" s="17">
        <f t="shared" si="8"/>
        <v>0</v>
      </c>
      <c r="N80" s="23">
        <f t="shared" si="6"/>
        <v>1269.9913539099989</v>
      </c>
      <c r="O80" s="18">
        <f t="shared" si="9"/>
        <v>126999.1353909999</v>
      </c>
    </row>
    <row r="81" spans="2:15">
      <c r="B81" s="12">
        <v>78</v>
      </c>
      <c r="C81" s="13" t="s">
        <v>210</v>
      </c>
      <c r="D81" s="14" t="s">
        <v>211</v>
      </c>
      <c r="E81" s="14" t="s">
        <v>209</v>
      </c>
      <c r="F81" s="15">
        <v>1</v>
      </c>
      <c r="G81" s="16">
        <v>1</v>
      </c>
      <c r="H81" s="17">
        <f>F81 * G81 * 14311.52964</f>
        <v>14311.529640000001</v>
      </c>
      <c r="I81" s="17">
        <f>F81 * G81 * 69152.976908</f>
        <v>69152.976907999997</v>
      </c>
      <c r="J81" s="17">
        <f t="shared" si="7"/>
        <v>0</v>
      </c>
      <c r="K81" s="17">
        <f>F81 * G81 * 14340.152699</f>
        <v>14340.152699</v>
      </c>
      <c r="L81" s="17">
        <f>F81 * G81 * 17849.350313</f>
        <v>17849.350312999999</v>
      </c>
      <c r="M81" s="17">
        <f t="shared" si="8"/>
        <v>0</v>
      </c>
      <c r="N81" s="23">
        <f t="shared" si="6"/>
        <v>1156.5400956000001</v>
      </c>
      <c r="O81" s="18">
        <f t="shared" si="9"/>
        <v>115654.00956000001</v>
      </c>
    </row>
    <row r="82" spans="2:15">
      <c r="B82" s="12">
        <v>79</v>
      </c>
      <c r="C82" s="13" t="s">
        <v>212</v>
      </c>
      <c r="D82" s="14" t="s">
        <v>213</v>
      </c>
      <c r="E82" s="14" t="s">
        <v>86</v>
      </c>
      <c r="F82" s="15">
        <v>1</v>
      </c>
      <c r="G82" s="16">
        <v>1</v>
      </c>
      <c r="H82" s="17">
        <f>F82 * G82 * 56901.9744</f>
        <v>56901.974399999999</v>
      </c>
      <c r="I82" s="17">
        <f>F82 * G82 * 156539.967032</f>
        <v>156539.96703199999</v>
      </c>
      <c r="J82" s="17">
        <f>F82 * G82 * 24.5344</f>
        <v>24.534400000000002</v>
      </c>
      <c r="K82" s="17">
        <f>F82 * G82 * 57015.778349</f>
        <v>57015.778349</v>
      </c>
      <c r="L82" s="17">
        <f>F82 * G82 * 49363.011388</f>
        <v>49363.011387999999</v>
      </c>
      <c r="M82" s="17">
        <f t="shared" si="8"/>
        <v>0</v>
      </c>
      <c r="N82" s="23">
        <f t="shared" si="6"/>
        <v>3198.45265569</v>
      </c>
      <c r="O82" s="18">
        <f t="shared" si="9"/>
        <v>319845.26556899998</v>
      </c>
    </row>
    <row r="83" spans="2:15">
      <c r="B83" s="12">
        <v>80</v>
      </c>
      <c r="C83" s="13" t="s">
        <v>214</v>
      </c>
      <c r="D83" s="14" t="s">
        <v>215</v>
      </c>
      <c r="E83" s="14" t="s">
        <v>86</v>
      </c>
      <c r="F83" s="15">
        <v>1</v>
      </c>
      <c r="G83" s="16">
        <v>1</v>
      </c>
      <c r="H83" s="17">
        <f>F83 * G83 * 9864.678</f>
        <v>9864.6779999999999</v>
      </c>
      <c r="I83" s="17">
        <f>F83 * G83 * 3713.732647</f>
        <v>3713.7326469999998</v>
      </c>
      <c r="J83" s="17">
        <f>F83 * G83 * 0</f>
        <v>0</v>
      </c>
      <c r="K83" s="17">
        <f>F83 * G83 * 9884.407356</f>
        <v>9884.4073559999997</v>
      </c>
      <c r="L83" s="17">
        <f>F83 * G83 * 4281.964285</f>
        <v>4281.964285</v>
      </c>
      <c r="M83" s="17">
        <f t="shared" si="8"/>
        <v>0</v>
      </c>
      <c r="N83" s="23">
        <f t="shared" si="6"/>
        <v>277.44782288000005</v>
      </c>
      <c r="O83" s="18">
        <f t="shared" si="9"/>
        <v>27744.782288000002</v>
      </c>
    </row>
    <row r="84" spans="2:15">
      <c r="B84" s="12">
        <v>81</v>
      </c>
      <c r="C84" s="13" t="s">
        <v>216</v>
      </c>
      <c r="D84" s="14" t="s">
        <v>217</v>
      </c>
      <c r="E84" s="14" t="s">
        <v>86</v>
      </c>
      <c r="F84" s="15">
        <v>1</v>
      </c>
      <c r="G84" s="16">
        <v>1</v>
      </c>
      <c r="H84" s="17">
        <f>F84 * G84 * 13894.3595</f>
        <v>13894.3595</v>
      </c>
      <c r="I84" s="17">
        <f>F84 * G84 * 2852.768584</f>
        <v>2852.7685839999999</v>
      </c>
      <c r="J84" s="17">
        <f>F84 * G84 * 0</f>
        <v>0</v>
      </c>
      <c r="K84" s="17">
        <f>F84 * G84 * 13922.1482189999</f>
        <v>13922.148218999901</v>
      </c>
      <c r="L84" s="17">
        <f>F84 * G84 * 5597.142926</f>
        <v>5597.1429260000004</v>
      </c>
      <c r="M84" s="17">
        <f t="shared" si="8"/>
        <v>0</v>
      </c>
      <c r="N84" s="23">
        <f t="shared" si="6"/>
        <v>362.66419228999905</v>
      </c>
      <c r="O84" s="18">
        <f t="shared" si="9"/>
        <v>36266.419228999905</v>
      </c>
    </row>
    <row r="85" spans="2:15">
      <c r="B85" s="12">
        <v>82</v>
      </c>
      <c r="C85" s="13" t="s">
        <v>218</v>
      </c>
      <c r="D85" s="14" t="s">
        <v>219</v>
      </c>
      <c r="E85" s="14" t="s">
        <v>220</v>
      </c>
      <c r="F85" s="15">
        <v>1</v>
      </c>
      <c r="G85" s="16">
        <v>1</v>
      </c>
      <c r="H85" s="17">
        <f>F85 * G85 * 251.831694</f>
        <v>251.831694</v>
      </c>
      <c r="I85" s="17">
        <f>F85 * G85 * 2727.734981</f>
        <v>2727.7349810000001</v>
      </c>
      <c r="J85" s="17">
        <f>F85 * G85 * 12.1254</f>
        <v>12.125400000000001</v>
      </c>
      <c r="K85" s="17">
        <f>F85 * G85 * 252.335357999999</f>
        <v>252.33535799999899</v>
      </c>
      <c r="L85" s="17">
        <f>F85 * G85 * 592.035006</f>
        <v>592.03500599999995</v>
      </c>
      <c r="M85" s="17">
        <f t="shared" si="8"/>
        <v>0</v>
      </c>
      <c r="N85" s="23">
        <f t="shared" ref="N85:N86" si="11">O85/G85/F85</f>
        <v>3836.0624389999989</v>
      </c>
      <c r="O85" s="18">
        <f t="shared" si="9"/>
        <v>3836.0624389999989</v>
      </c>
    </row>
    <row r="86" spans="2:15" ht="25.5">
      <c r="B86" s="12">
        <v>83</v>
      </c>
      <c r="C86" s="13" t="s">
        <v>221</v>
      </c>
      <c r="D86" s="14" t="s">
        <v>222</v>
      </c>
      <c r="E86" s="14" t="s">
        <v>223</v>
      </c>
      <c r="F86" s="15">
        <v>1</v>
      </c>
      <c r="G86" s="16">
        <v>1</v>
      </c>
      <c r="H86" s="17">
        <f>F86 * G86 * 458.746749</f>
        <v>458.74674900000002</v>
      </c>
      <c r="I86" s="17">
        <f>F86 * G86 * 3246.760388</f>
        <v>3246.7603880000001</v>
      </c>
      <c r="J86" s="17">
        <f t="shared" ref="J86:J98" si="12">F86 * G86 * 0</f>
        <v>0</v>
      </c>
      <c r="K86" s="17">
        <f>F86 * G86 * 459.664242</f>
        <v>459.664242</v>
      </c>
      <c r="L86" s="17">
        <f>F86 * G86 * 760.143776</f>
        <v>760.143776</v>
      </c>
      <c r="M86" s="17">
        <f t="shared" si="8"/>
        <v>0</v>
      </c>
      <c r="N86" s="23">
        <f t="shared" si="11"/>
        <v>4925.3151550000002</v>
      </c>
      <c r="O86" s="18">
        <f t="shared" si="9"/>
        <v>4925.3151550000002</v>
      </c>
    </row>
    <row r="87" spans="2:15" ht="25.5">
      <c r="B87" s="12">
        <v>84</v>
      </c>
      <c r="C87" s="13" t="s">
        <v>224</v>
      </c>
      <c r="D87" s="14" t="s">
        <v>225</v>
      </c>
      <c r="E87" s="14" t="s">
        <v>226</v>
      </c>
      <c r="F87" s="15">
        <v>1</v>
      </c>
      <c r="G87" s="16">
        <v>1</v>
      </c>
      <c r="H87" s="17">
        <f>F87 * G87 * 1779.16557</f>
        <v>1779.1655699999999</v>
      </c>
      <c r="I87" s="17">
        <f>F87 * G87 * 256.640902</f>
        <v>256.64090199999998</v>
      </c>
      <c r="J87" s="17">
        <f t="shared" si="12"/>
        <v>0</v>
      </c>
      <c r="K87" s="17">
        <f>F87 * G87 * 1782.723901</f>
        <v>1782.7239010000001</v>
      </c>
      <c r="L87" s="17">
        <f>F87 * G87 * 696.881793</f>
        <v>696.88179300000002</v>
      </c>
      <c r="M87" s="17">
        <f t="shared" si="8"/>
        <v>0</v>
      </c>
      <c r="N87" s="23">
        <f>O87/G87/F87/10</f>
        <v>451.54121659999998</v>
      </c>
      <c r="O87" s="18">
        <f t="shared" si="9"/>
        <v>4515.4121660000001</v>
      </c>
    </row>
    <row r="88" spans="2:15">
      <c r="B88" s="12">
        <v>85</v>
      </c>
      <c r="C88" s="13" t="s">
        <v>227</v>
      </c>
      <c r="D88" s="14" t="s">
        <v>228</v>
      </c>
      <c r="E88" s="14" t="s">
        <v>226</v>
      </c>
      <c r="F88" s="15">
        <v>1</v>
      </c>
      <c r="G88" s="16">
        <v>1</v>
      </c>
      <c r="H88" s="17">
        <f>F88 * G88 * 1974.67827</f>
        <v>1974.6782700000001</v>
      </c>
      <c r="I88" s="17">
        <f>F88 * G88 * 256.640902</f>
        <v>256.64090199999998</v>
      </c>
      <c r="J88" s="17">
        <f t="shared" si="12"/>
        <v>0</v>
      </c>
      <c r="K88" s="17">
        <f>F88 * G88 * 1978.627627</f>
        <v>1978.6276270000001</v>
      </c>
      <c r="L88" s="17">
        <f>F88 * G88 * 768.315291</f>
        <v>768.315291</v>
      </c>
      <c r="M88" s="17">
        <f t="shared" si="8"/>
        <v>0</v>
      </c>
      <c r="N88" s="23">
        <f t="shared" ref="N88:N89" si="13">O88/G88/F88/10</f>
        <v>497.82620900000001</v>
      </c>
      <c r="O88" s="18">
        <f t="shared" si="9"/>
        <v>4978.2620900000002</v>
      </c>
    </row>
    <row r="89" spans="2:15">
      <c r="B89" s="12">
        <v>86</v>
      </c>
      <c r="C89" s="13" t="s">
        <v>229</v>
      </c>
      <c r="D89" s="14" t="s">
        <v>230</v>
      </c>
      <c r="E89" s="14" t="s">
        <v>231</v>
      </c>
      <c r="F89" s="15">
        <v>1</v>
      </c>
      <c r="G89" s="16">
        <v>1</v>
      </c>
      <c r="H89" s="17">
        <f>F89 * G89 * 1955.127</f>
        <v>1955.127</v>
      </c>
      <c r="I89" s="17">
        <f>F89 * G89 * 237.552</f>
        <v>237.55199999999999</v>
      </c>
      <c r="J89" s="17">
        <f t="shared" si="12"/>
        <v>0</v>
      </c>
      <c r="K89" s="17">
        <f>F89 * G89 * 1959.03725399999</f>
        <v>1959.0372539999901</v>
      </c>
      <c r="L89" s="17">
        <f>F89 * G89 * 757.688216</f>
        <v>757.68821600000001</v>
      </c>
      <c r="M89" s="17">
        <f t="shared" si="8"/>
        <v>0</v>
      </c>
      <c r="N89" s="23">
        <f t="shared" si="13"/>
        <v>490.94044699999904</v>
      </c>
      <c r="O89" s="18">
        <f t="shared" si="9"/>
        <v>4909.4044699999904</v>
      </c>
    </row>
    <row r="90" spans="2:15">
      <c r="B90" s="12">
        <v>87</v>
      </c>
      <c r="C90" s="13" t="s">
        <v>232</v>
      </c>
      <c r="D90" s="14" t="s">
        <v>233</v>
      </c>
      <c r="E90" s="14" t="s">
        <v>234</v>
      </c>
      <c r="F90" s="15">
        <v>1</v>
      </c>
      <c r="G90" s="16">
        <v>1</v>
      </c>
      <c r="H90" s="17">
        <f>F90 * G90 * 97.75635</f>
        <v>97.756349999999998</v>
      </c>
      <c r="I90" s="17">
        <f>F90 * G90 * 28.204537</f>
        <v>28.204536999999998</v>
      </c>
      <c r="J90" s="17">
        <f t="shared" si="12"/>
        <v>0</v>
      </c>
      <c r="K90" s="17">
        <f>F90 * G90 * 97.951863</f>
        <v>97.951863000000003</v>
      </c>
      <c r="L90" s="17">
        <f>F90 * G90 * 40.8640769999999</f>
        <v>40.864076999999902</v>
      </c>
      <c r="M90" s="17">
        <f t="shared" si="8"/>
        <v>0</v>
      </c>
      <c r="N90" s="23">
        <f>O90/G90/F90</f>
        <v>264.77682699999991</v>
      </c>
      <c r="O90" s="18">
        <f t="shared" si="9"/>
        <v>264.77682699999991</v>
      </c>
    </row>
    <row r="91" spans="2:15" ht="25.5">
      <c r="B91" s="12">
        <v>88</v>
      </c>
      <c r="C91" s="13" t="s">
        <v>235</v>
      </c>
      <c r="D91" s="14" t="s">
        <v>236</v>
      </c>
      <c r="E91" s="14" t="s">
        <v>190</v>
      </c>
      <c r="F91" s="15">
        <v>1</v>
      </c>
      <c r="G91" s="16">
        <v>1</v>
      </c>
      <c r="H91" s="17">
        <f>F91 * G91 * 969.06656</f>
        <v>969.06655999999998</v>
      </c>
      <c r="I91" s="17">
        <f>F91 * G91 * 277.337141</f>
        <v>277.33714099999997</v>
      </c>
      <c r="J91" s="17">
        <f t="shared" si="12"/>
        <v>0</v>
      </c>
      <c r="K91" s="17">
        <f>F91 * G91 * 971.004693</f>
        <v>971.00469299999997</v>
      </c>
      <c r="L91" s="17">
        <f>F91 * G91 * 404.677032</f>
        <v>404.677032</v>
      </c>
      <c r="M91" s="17">
        <f t="shared" si="8"/>
        <v>0</v>
      </c>
      <c r="N91" s="23">
        <f>O91/G91/F91/10</f>
        <v>262.20854259999999</v>
      </c>
      <c r="O91" s="18">
        <f t="shared" si="9"/>
        <v>2622.0854260000001</v>
      </c>
    </row>
    <row r="92" spans="2:15" ht="25.5">
      <c r="B92" s="12">
        <v>89</v>
      </c>
      <c r="C92" s="13" t="s">
        <v>237</v>
      </c>
      <c r="D92" s="14" t="s">
        <v>238</v>
      </c>
      <c r="E92" s="14" t="s">
        <v>190</v>
      </c>
      <c r="F92" s="15">
        <v>1</v>
      </c>
      <c r="G92" s="16">
        <v>1</v>
      </c>
      <c r="H92" s="17">
        <f>F92 * G92 * 858.94536</f>
        <v>858.94536000000005</v>
      </c>
      <c r="I92" s="17">
        <f>F92 * G92 * 277.337141</f>
        <v>277.33714099999997</v>
      </c>
      <c r="J92" s="17">
        <f t="shared" si="12"/>
        <v>0</v>
      </c>
      <c r="K92" s="17">
        <f>F92 * G92 * 860.663251</f>
        <v>860.66325099999995</v>
      </c>
      <c r="L92" s="17">
        <f>F92 * G92 * 364.442599</f>
        <v>364.44259899999997</v>
      </c>
      <c r="M92" s="17">
        <f t="shared" si="8"/>
        <v>0</v>
      </c>
      <c r="N92" s="23">
        <f>O92/G92/F92/10</f>
        <v>236.13883509999999</v>
      </c>
      <c r="O92" s="18">
        <f t="shared" si="9"/>
        <v>2361.3883510000001</v>
      </c>
    </row>
    <row r="93" spans="2:15">
      <c r="B93" s="12">
        <v>90</v>
      </c>
      <c r="C93" s="13" t="s">
        <v>239</v>
      </c>
      <c r="D93" s="14" t="s">
        <v>240</v>
      </c>
      <c r="E93" s="14" t="s">
        <v>195</v>
      </c>
      <c r="F93" s="15">
        <v>1</v>
      </c>
      <c r="G93" s="16">
        <v>1</v>
      </c>
      <c r="H93" s="17">
        <f>F93 * G93 * 11.730762</f>
        <v>11.730762</v>
      </c>
      <c r="I93" s="17">
        <f>F93 * G93 * 1.421245</f>
        <v>1.4212450000000001</v>
      </c>
      <c r="J93" s="17">
        <f t="shared" si="12"/>
        <v>0</v>
      </c>
      <c r="K93" s="17">
        <f>F93 * G93 * 11.754223</f>
        <v>11.754223</v>
      </c>
      <c r="L93" s="17">
        <f>F93 * G93 * 4.545387</f>
        <v>4.5453869999999998</v>
      </c>
      <c r="M93" s="17">
        <f t="shared" si="8"/>
        <v>0</v>
      </c>
      <c r="N93" s="23">
        <f>O93/G93/F93</f>
        <v>29.451616999999999</v>
      </c>
      <c r="O93" s="18">
        <f t="shared" si="9"/>
        <v>29.451616999999999</v>
      </c>
    </row>
    <row r="94" spans="2:15">
      <c r="B94" s="12">
        <v>91</v>
      </c>
      <c r="C94" s="13" t="s">
        <v>241</v>
      </c>
      <c r="D94" s="14" t="s">
        <v>242</v>
      </c>
      <c r="E94" s="14" t="s">
        <v>243</v>
      </c>
      <c r="F94" s="15">
        <v>1</v>
      </c>
      <c r="G94" s="16">
        <v>1</v>
      </c>
      <c r="H94" s="17">
        <f>F94 * G94 * 636.26148</f>
        <v>636.26148000000001</v>
      </c>
      <c r="I94" s="17">
        <f>F94 * G94 * 3268.202153</f>
        <v>3268.2021530000002</v>
      </c>
      <c r="J94" s="17">
        <f t="shared" si="12"/>
        <v>0</v>
      </c>
      <c r="K94" s="17">
        <f>F94 * G94 * 637.534003</f>
        <v>637.53400299999998</v>
      </c>
      <c r="L94" s="17">
        <f>F94 * G94 * 828.914569</f>
        <v>828.91456900000003</v>
      </c>
      <c r="M94" s="17">
        <f t="shared" si="8"/>
        <v>0</v>
      </c>
      <c r="N94" s="23">
        <f>O94/G94/F94/10</f>
        <v>537.09122050000008</v>
      </c>
      <c r="O94" s="18">
        <f t="shared" si="9"/>
        <v>5370.9122050000005</v>
      </c>
    </row>
    <row r="95" spans="2:15">
      <c r="B95" s="12">
        <v>92</v>
      </c>
      <c r="C95" s="13" t="s">
        <v>244</v>
      </c>
      <c r="D95" s="14" t="s">
        <v>245</v>
      </c>
      <c r="E95" s="14" t="s">
        <v>246</v>
      </c>
      <c r="F95" s="15">
        <v>1</v>
      </c>
      <c r="G95" s="16">
        <v>1</v>
      </c>
      <c r="H95" s="17">
        <f>F95 * G95 * 2932.6905</f>
        <v>2932.6905000000002</v>
      </c>
      <c r="I95" s="17">
        <f>F95 * G95 * 15743.142091</f>
        <v>15743.142091</v>
      </c>
      <c r="J95" s="17">
        <f t="shared" si="12"/>
        <v>0</v>
      </c>
      <c r="K95" s="17">
        <f>F95 * G95 * 2938.555881</f>
        <v>2938.5558810000002</v>
      </c>
      <c r="L95" s="17">
        <f>F95 * G95 * 3944.625896</f>
        <v>3944.625896</v>
      </c>
      <c r="M95" s="17">
        <f t="shared" si="8"/>
        <v>0</v>
      </c>
      <c r="N95" s="23">
        <f t="shared" si="6"/>
        <v>255.59014368000001</v>
      </c>
      <c r="O95" s="18">
        <f t="shared" si="9"/>
        <v>25559.014368</v>
      </c>
    </row>
    <row r="96" spans="2:15">
      <c r="B96" s="12">
        <v>93</v>
      </c>
      <c r="C96" s="13" t="s">
        <v>247</v>
      </c>
      <c r="D96" s="14" t="s">
        <v>248</v>
      </c>
      <c r="E96" s="14" t="s">
        <v>249</v>
      </c>
      <c r="F96" s="15">
        <v>1</v>
      </c>
      <c r="G96" s="16">
        <v>1</v>
      </c>
      <c r="H96" s="17">
        <f>F96 * G96 * 7578.072252</f>
        <v>7578.0722519999999</v>
      </c>
      <c r="I96" s="17">
        <f>F96 * G96 * 6617.412908</f>
        <v>6617.4129080000002</v>
      </c>
      <c r="J96" s="17">
        <f t="shared" si="12"/>
        <v>0</v>
      </c>
      <c r="K96" s="17">
        <f>F96 * G96 * 7593.228396</f>
        <v>7593.2283960000004</v>
      </c>
      <c r="L96" s="17">
        <f>F96 * G96 * 3976.440224</f>
        <v>3976.4402239999999</v>
      </c>
      <c r="M96" s="17">
        <f t="shared" si="8"/>
        <v>0</v>
      </c>
      <c r="N96" s="23">
        <f t="shared" si="6"/>
        <v>257.65153780000003</v>
      </c>
      <c r="O96" s="18">
        <f t="shared" si="9"/>
        <v>25765.153780000001</v>
      </c>
    </row>
    <row r="97" spans="2:15">
      <c r="B97" s="12">
        <v>94</v>
      </c>
      <c r="C97" s="13" t="s">
        <v>250</v>
      </c>
      <c r="D97" s="14" t="s">
        <v>251</v>
      </c>
      <c r="E97" s="14" t="s">
        <v>86</v>
      </c>
      <c r="F97" s="15">
        <v>1</v>
      </c>
      <c r="G97" s="16">
        <v>1</v>
      </c>
      <c r="H97" s="17">
        <f>F97 * G97 * 15076.206</f>
        <v>15076.206</v>
      </c>
      <c r="I97" s="17">
        <f>F97 * G97 * 2870.585424</f>
        <v>2870.5854239999999</v>
      </c>
      <c r="J97" s="17">
        <f t="shared" si="12"/>
        <v>0</v>
      </c>
      <c r="K97" s="17">
        <f>F97 * G97 * 15106.358412</f>
        <v>15106.358412</v>
      </c>
      <c r="L97" s="17">
        <f>F97 * G97 * 6032.199845</f>
        <v>6032.1998450000001</v>
      </c>
      <c r="M97" s="17">
        <f t="shared" si="8"/>
        <v>0</v>
      </c>
      <c r="N97" s="23">
        <f t="shared" si="6"/>
        <v>390.85349681000002</v>
      </c>
      <c r="O97" s="18">
        <f t="shared" si="9"/>
        <v>39085.349681</v>
      </c>
    </row>
    <row r="98" spans="2:15">
      <c r="B98" s="12">
        <v>95</v>
      </c>
      <c r="C98" s="13" t="s">
        <v>252</v>
      </c>
      <c r="D98" s="14" t="s">
        <v>253</v>
      </c>
      <c r="E98" s="14" t="s">
        <v>86</v>
      </c>
      <c r="F98" s="15">
        <v>1</v>
      </c>
      <c r="G98" s="16">
        <v>1</v>
      </c>
      <c r="H98" s="17">
        <f>F98 * G98 * 19650.59415</f>
        <v>19650.594150000001</v>
      </c>
      <c r="I98" s="17">
        <f>F98 * G98 * 4231.393729</f>
        <v>4231.3937290000003</v>
      </c>
      <c r="J98" s="17">
        <f t="shared" si="12"/>
        <v>0</v>
      </c>
      <c r="K98" s="17">
        <f>F98 * G98 * 19689.895338</f>
        <v>19689.895337999998</v>
      </c>
      <c r="L98" s="17">
        <f>F98 * G98 * 7951.868687</f>
        <v>7951.8686870000001</v>
      </c>
      <c r="M98" s="17">
        <f t="shared" si="8"/>
        <v>0</v>
      </c>
      <c r="N98" s="23">
        <f t="shared" si="6"/>
        <v>515.23751903999994</v>
      </c>
      <c r="O98" s="18">
        <f t="shared" si="9"/>
        <v>51523.751903999997</v>
      </c>
    </row>
    <row r="99" spans="2:15">
      <c r="B99" s="12">
        <v>96</v>
      </c>
      <c r="C99" s="13" t="s">
        <v>254</v>
      </c>
      <c r="D99" s="14" t="s">
        <v>255</v>
      </c>
      <c r="E99" s="14" t="s">
        <v>256</v>
      </c>
      <c r="F99" s="15">
        <v>1</v>
      </c>
      <c r="G99" s="16">
        <v>1</v>
      </c>
      <c r="H99" s="17">
        <f>F99 * G99 * 4072.79332</f>
        <v>4072.7933200000002</v>
      </c>
      <c r="I99" s="17">
        <f>F99 * G99 * 57535.857936</f>
        <v>57535.857936</v>
      </c>
      <c r="J99" s="17">
        <f>F99 * G99 * 116.1794</f>
        <v>116.1794</v>
      </c>
      <c r="K99" s="17">
        <f>F99 * G99 * 4147.463666</f>
        <v>4147.4636659999996</v>
      </c>
      <c r="L99" s="17">
        <f>F99 * G99 * 12021.693714</f>
        <v>12021.693714000001</v>
      </c>
      <c r="M99" s="17">
        <f t="shared" si="8"/>
        <v>0</v>
      </c>
      <c r="N99" s="23">
        <f t="shared" si="6"/>
        <v>778.93988035999996</v>
      </c>
      <c r="O99" s="18">
        <f t="shared" si="9"/>
        <v>77893.988035999995</v>
      </c>
    </row>
    <row r="100" spans="2:15">
      <c r="B100" s="12">
        <v>97</v>
      </c>
      <c r="C100" s="13" t="s">
        <v>257</v>
      </c>
      <c r="D100" s="14" t="s">
        <v>258</v>
      </c>
      <c r="E100" s="14" t="s">
        <v>256</v>
      </c>
      <c r="F100" s="15">
        <v>1</v>
      </c>
      <c r="G100" s="16">
        <v>1</v>
      </c>
      <c r="H100" s="17">
        <f>F100 * G100 * 2317.713312</f>
        <v>2317.7133119999999</v>
      </c>
      <c r="I100" s="17">
        <f>F100 * G100 * 29763.064717</f>
        <v>29763.064717000001</v>
      </c>
      <c r="J100" s="17">
        <f>F100 * G100 * 60.4055</f>
        <v>60.405500000000004</v>
      </c>
      <c r="K100" s="17">
        <f>F100 * G100 * 2356.941613</f>
        <v>2356.941613</v>
      </c>
      <c r="L100" s="17">
        <f>F100 * G100 * 6295.90783899999</f>
        <v>6295.9078389999904</v>
      </c>
      <c r="M100" s="17">
        <f t="shared" si="8"/>
        <v>0</v>
      </c>
      <c r="N100" s="23">
        <f t="shared" si="6"/>
        <v>407.94032980999998</v>
      </c>
      <c r="O100" s="18">
        <f t="shared" si="9"/>
        <v>40794.032980999997</v>
      </c>
    </row>
    <row r="101" spans="2:15" ht="25.5">
      <c r="B101" s="12">
        <v>98</v>
      </c>
      <c r="C101" s="13" t="s">
        <v>259</v>
      </c>
      <c r="D101" s="14" t="s">
        <v>260</v>
      </c>
      <c r="E101" s="14" t="s">
        <v>261</v>
      </c>
      <c r="F101" s="15">
        <v>1</v>
      </c>
      <c r="G101" s="16">
        <v>1</v>
      </c>
      <c r="H101" s="17">
        <f>F101 * G101 * 1079.18776</f>
        <v>1079.18776</v>
      </c>
      <c r="I101" s="17">
        <f>F101 * G101 * 111.664914</f>
        <v>111.664914</v>
      </c>
      <c r="J101" s="17">
        <f t="shared" ref="J101:J114" si="14">F101 * G101 * 0</f>
        <v>0</v>
      </c>
      <c r="K101" s="17">
        <f>F101 * G101 * 1081.346136</f>
        <v>1081.3461359999999</v>
      </c>
      <c r="L101" s="17">
        <f>F101 * G101 * 414.676283</f>
        <v>414.67628300000001</v>
      </c>
      <c r="M101" s="17">
        <f t="shared" si="8"/>
        <v>0</v>
      </c>
      <c r="N101" s="23">
        <f>O101/G101/F101</f>
        <v>2686.8750929999997</v>
      </c>
      <c r="O101" s="18">
        <f t="shared" si="9"/>
        <v>2686.8750929999997</v>
      </c>
    </row>
    <row r="102" spans="2:15" ht="25.5">
      <c r="B102" s="12">
        <v>99</v>
      </c>
      <c r="C102" s="13" t="s">
        <v>262</v>
      </c>
      <c r="D102" s="14" t="s">
        <v>263</v>
      </c>
      <c r="E102" s="14" t="s">
        <v>264</v>
      </c>
      <c r="F102" s="15">
        <v>1</v>
      </c>
      <c r="G102" s="16">
        <v>1</v>
      </c>
      <c r="H102" s="17">
        <f>F102 * G102 * 1090.19988</f>
        <v>1090.1998799999999</v>
      </c>
      <c r="I102" s="17">
        <f>F102 * G102 * 3343.512411</f>
        <v>3343.5124110000002</v>
      </c>
      <c r="J102" s="17">
        <f t="shared" si="14"/>
        <v>0</v>
      </c>
      <c r="K102" s="17">
        <f>F102 * G102 * 1092.38027999999</f>
        <v>1092.3802799999901</v>
      </c>
      <c r="L102" s="17">
        <f>F102 * G102 * 1008.511894</f>
        <v>1008.511894</v>
      </c>
      <c r="M102" s="17">
        <f t="shared" si="8"/>
        <v>0</v>
      </c>
      <c r="N102" s="23">
        <f t="shared" ref="N102:N109" si="15">O102/G102/F102</f>
        <v>6534.6044649999903</v>
      </c>
      <c r="O102" s="18">
        <f t="shared" si="9"/>
        <v>6534.6044649999903</v>
      </c>
    </row>
    <row r="103" spans="2:15">
      <c r="B103" s="12">
        <v>100</v>
      </c>
      <c r="C103" s="13" t="s">
        <v>265</v>
      </c>
      <c r="D103" s="14" t="s">
        <v>266</v>
      </c>
      <c r="E103" s="14" t="s">
        <v>223</v>
      </c>
      <c r="F103" s="15">
        <v>1</v>
      </c>
      <c r="G103" s="16">
        <v>1</v>
      </c>
      <c r="H103" s="17">
        <f>F103 * G103 * 458.746749</f>
        <v>458.74674900000002</v>
      </c>
      <c r="I103" s="17">
        <f>F103 * G103 * 3160.853828</f>
        <v>3160.8538279999998</v>
      </c>
      <c r="J103" s="17">
        <f t="shared" si="14"/>
        <v>0</v>
      </c>
      <c r="K103" s="17">
        <f>F103 * G103 * 459.664242</f>
        <v>459.664242</v>
      </c>
      <c r="L103" s="17">
        <f>F103 * G103 * 744.465829</f>
        <v>744.46582899999999</v>
      </c>
      <c r="M103" s="17">
        <f t="shared" si="8"/>
        <v>0</v>
      </c>
      <c r="N103" s="23">
        <f t="shared" si="15"/>
        <v>4823.7306479999997</v>
      </c>
      <c r="O103" s="18">
        <f t="shared" si="9"/>
        <v>4823.7306479999997</v>
      </c>
    </row>
    <row r="104" spans="2:15">
      <c r="B104" s="12">
        <v>101</v>
      </c>
      <c r="C104" s="13" t="s">
        <v>267</v>
      </c>
      <c r="D104" s="14" t="s">
        <v>268</v>
      </c>
      <c r="E104" s="14" t="s">
        <v>223</v>
      </c>
      <c r="F104" s="15">
        <v>1</v>
      </c>
      <c r="G104" s="16">
        <v>1</v>
      </c>
      <c r="H104" s="17">
        <f>F104 * G104 * 514.663381</f>
        <v>514.66338099999996</v>
      </c>
      <c r="I104" s="17">
        <f>F104 * G104 * 3160.853828</f>
        <v>3160.8538279999998</v>
      </c>
      <c r="J104" s="17">
        <f t="shared" si="14"/>
        <v>0</v>
      </c>
      <c r="K104" s="17">
        <f>F104 * G104 * 515.692708</f>
        <v>515.69270800000004</v>
      </c>
      <c r="L104" s="17">
        <f>F104 * G104 * 764.89581</f>
        <v>764.89580999999998</v>
      </c>
      <c r="M104" s="17">
        <f t="shared" si="8"/>
        <v>0</v>
      </c>
      <c r="N104" s="23">
        <f t="shared" si="15"/>
        <v>4956.1057270000001</v>
      </c>
      <c r="O104" s="18">
        <f t="shared" si="9"/>
        <v>4956.1057270000001</v>
      </c>
    </row>
    <row r="105" spans="2:15">
      <c r="B105" s="12">
        <v>102</v>
      </c>
      <c r="C105" s="13" t="s">
        <v>269</v>
      </c>
      <c r="D105" s="14" t="s">
        <v>270</v>
      </c>
      <c r="E105" s="14" t="s">
        <v>223</v>
      </c>
      <c r="F105" s="15">
        <v>1</v>
      </c>
      <c r="G105" s="16">
        <v>1</v>
      </c>
      <c r="H105" s="17">
        <f>F105 * G105 * 434.503174</f>
        <v>434.503174</v>
      </c>
      <c r="I105" s="17">
        <f>F105 * G105 * 3160.853828</f>
        <v>3160.8538279999998</v>
      </c>
      <c r="J105" s="17">
        <f t="shared" si="14"/>
        <v>0</v>
      </c>
      <c r="K105" s="17">
        <f>F105 * G105 * 435.372180999999</f>
        <v>435.37218099999899</v>
      </c>
      <c r="L105" s="17">
        <f>F105 * G105 * 735.608076</f>
        <v>735.60807599999998</v>
      </c>
      <c r="M105" s="17">
        <f t="shared" si="8"/>
        <v>0</v>
      </c>
      <c r="N105" s="23">
        <f t="shared" si="15"/>
        <v>4766.3372589999981</v>
      </c>
      <c r="O105" s="18">
        <f t="shared" si="9"/>
        <v>4766.3372589999981</v>
      </c>
    </row>
    <row r="106" spans="2:15">
      <c r="B106" s="12">
        <v>103</v>
      </c>
      <c r="C106" s="13" t="s">
        <v>271</v>
      </c>
      <c r="D106" s="14" t="s">
        <v>272</v>
      </c>
      <c r="E106" s="14" t="s">
        <v>223</v>
      </c>
      <c r="F106" s="15">
        <v>1</v>
      </c>
      <c r="G106" s="16">
        <v>1</v>
      </c>
      <c r="H106" s="17">
        <f>F106 * G106 * 474.387765</f>
        <v>474.387765</v>
      </c>
      <c r="I106" s="17">
        <f>F106 * G106 * 3160.853828</f>
        <v>3160.8538279999998</v>
      </c>
      <c r="J106" s="17">
        <f t="shared" si="14"/>
        <v>0</v>
      </c>
      <c r="K106" s="17">
        <f>F106 * G106 * 475.336541</f>
        <v>475.33654100000001</v>
      </c>
      <c r="L106" s="17">
        <f>F106 * G106 * 750.180509</f>
        <v>750.18050900000003</v>
      </c>
      <c r="M106" s="17">
        <f t="shared" si="8"/>
        <v>0</v>
      </c>
      <c r="N106" s="23">
        <f t="shared" si="15"/>
        <v>4860.7586429999992</v>
      </c>
      <c r="O106" s="18">
        <f t="shared" si="9"/>
        <v>4860.7586429999992</v>
      </c>
    </row>
    <row r="107" spans="2:15" ht="25.5">
      <c r="B107" s="12">
        <v>104</v>
      </c>
      <c r="C107" s="13" t="s">
        <v>273</v>
      </c>
      <c r="D107" s="14" t="s">
        <v>274</v>
      </c>
      <c r="E107" s="14" t="s">
        <v>275</v>
      </c>
      <c r="F107" s="15">
        <v>1</v>
      </c>
      <c r="G107" s="16">
        <v>1</v>
      </c>
      <c r="H107" s="17">
        <f>F107 * G107 * 117.30762</f>
        <v>117.30762</v>
      </c>
      <c r="I107" s="17">
        <f>F107 * G107 * 726.26676</f>
        <v>726.26675999999998</v>
      </c>
      <c r="J107" s="17">
        <f t="shared" si="14"/>
        <v>0</v>
      </c>
      <c r="K107" s="17">
        <f>F107 * G107 * 117.542235</f>
        <v>117.54223500000001</v>
      </c>
      <c r="L107" s="17">
        <f>F107 * G107 * 175.403782</f>
        <v>175.40378200000001</v>
      </c>
      <c r="M107" s="17">
        <f t="shared" si="8"/>
        <v>0</v>
      </c>
      <c r="N107" s="23">
        <f t="shared" si="15"/>
        <v>1136.520397</v>
      </c>
      <c r="O107" s="18">
        <f t="shared" si="9"/>
        <v>1136.520397</v>
      </c>
    </row>
    <row r="108" spans="2:15" ht="25.5">
      <c r="B108" s="12">
        <v>105</v>
      </c>
      <c r="C108" s="13" t="s">
        <v>276</v>
      </c>
      <c r="D108" s="14" t="s">
        <v>277</v>
      </c>
      <c r="E108" s="14" t="s">
        <v>275</v>
      </c>
      <c r="F108" s="15">
        <v>1</v>
      </c>
      <c r="G108" s="16">
        <v>1</v>
      </c>
      <c r="H108" s="17">
        <f>F108 * G108 * 129.038382</f>
        <v>129.03838200000001</v>
      </c>
      <c r="I108" s="17">
        <f>F108 * G108 * 726.26676</f>
        <v>726.26675999999998</v>
      </c>
      <c r="J108" s="17">
        <f t="shared" si="14"/>
        <v>0</v>
      </c>
      <c r="K108" s="17">
        <f>F108 * G108 * 129.296458</f>
        <v>129.296458</v>
      </c>
      <c r="L108" s="17">
        <f>F108 * G108 * 179.689792</f>
        <v>179.68979200000001</v>
      </c>
      <c r="M108" s="17">
        <f t="shared" si="8"/>
        <v>0</v>
      </c>
      <c r="N108" s="23">
        <f t="shared" si="15"/>
        <v>1164.2913920000001</v>
      </c>
      <c r="O108" s="18">
        <f t="shared" si="9"/>
        <v>1164.2913920000001</v>
      </c>
    </row>
    <row r="109" spans="2:15" ht="25.5">
      <c r="B109" s="12">
        <v>106</v>
      </c>
      <c r="C109" s="13" t="s">
        <v>278</v>
      </c>
      <c r="D109" s="14" t="s">
        <v>279</v>
      </c>
      <c r="E109" s="14" t="s">
        <v>275</v>
      </c>
      <c r="F109" s="15">
        <v>1</v>
      </c>
      <c r="G109" s="16">
        <v>1</v>
      </c>
      <c r="H109" s="17">
        <f>F109 * G109 * 142.724271</f>
        <v>142.72427099999999</v>
      </c>
      <c r="I109" s="17">
        <f>F109 * G109 * 716.7162</f>
        <v>716.71619999999996</v>
      </c>
      <c r="J109" s="17">
        <f t="shared" si="14"/>
        <v>0</v>
      </c>
      <c r="K109" s="17">
        <f>F109 * G109 * 143.00972</f>
        <v>143.00971999999999</v>
      </c>
      <c r="L109" s="17">
        <f>F109 * G109 * 182.947159</f>
        <v>182.947159</v>
      </c>
      <c r="M109" s="17">
        <f t="shared" si="8"/>
        <v>0</v>
      </c>
      <c r="N109" s="23">
        <f t="shared" si="15"/>
        <v>1185.39735</v>
      </c>
      <c r="O109" s="18">
        <f t="shared" si="9"/>
        <v>1185.39735</v>
      </c>
    </row>
    <row r="110" spans="2:15" ht="38.25">
      <c r="B110" s="12">
        <v>107</v>
      </c>
      <c r="C110" s="13" t="s">
        <v>280</v>
      </c>
      <c r="D110" s="14" t="s">
        <v>281</v>
      </c>
      <c r="E110" s="14" t="s">
        <v>282</v>
      </c>
      <c r="F110" s="15">
        <v>1</v>
      </c>
      <c r="G110" s="16">
        <v>1</v>
      </c>
      <c r="H110" s="17">
        <f>F110 * G110 * 101023.5648</f>
        <v>101023.56479999999</v>
      </c>
      <c r="I110" s="17">
        <f>F110 * G110 * 733193.692818</f>
        <v>733193.69281799998</v>
      </c>
      <c r="J110" s="17">
        <f t="shared" si="14"/>
        <v>0</v>
      </c>
      <c r="K110" s="17">
        <f>F110 * G110 * 101225.61193</f>
        <v>101225.61193</v>
      </c>
      <c r="L110" s="17">
        <f>F110 * G110 * 170718.323692</f>
        <v>170718.32369200001</v>
      </c>
      <c r="M110" s="17">
        <f t="shared" si="8"/>
        <v>0</v>
      </c>
      <c r="N110" s="23">
        <f t="shared" si="6"/>
        <v>11061.611932399999</v>
      </c>
      <c r="O110" s="18">
        <f t="shared" si="9"/>
        <v>1106161.1932399999</v>
      </c>
    </row>
    <row r="111" spans="2:15">
      <c r="B111" s="12">
        <v>108</v>
      </c>
      <c r="C111" s="13" t="s">
        <v>283</v>
      </c>
      <c r="D111" s="14" t="s">
        <v>284</v>
      </c>
      <c r="E111" s="14" t="s">
        <v>285</v>
      </c>
      <c r="F111" s="15">
        <v>1</v>
      </c>
      <c r="G111" s="16">
        <v>1</v>
      </c>
      <c r="H111" s="17">
        <f>F111 * G111 * 13916.593986</f>
        <v>13916.593986</v>
      </c>
      <c r="I111" s="17">
        <f>F111 * G111 * 86641.356768</f>
        <v>86641.356767999998</v>
      </c>
      <c r="J111" s="17">
        <f t="shared" si="14"/>
        <v>0</v>
      </c>
      <c r="K111" s="17">
        <f>F111 * G111 * 13944.427174</f>
        <v>13944.427174</v>
      </c>
      <c r="L111" s="17">
        <f>F111 * G111 * 20896.683972</f>
        <v>20896.683971999999</v>
      </c>
      <c r="M111" s="17">
        <f t="shared" si="8"/>
        <v>0</v>
      </c>
      <c r="N111" s="23">
        <f t="shared" ref="N111:N174" si="16">O111/G111/F111/100</f>
        <v>1353.9906189999997</v>
      </c>
      <c r="O111" s="18">
        <f t="shared" si="9"/>
        <v>135399.06189999997</v>
      </c>
    </row>
    <row r="112" spans="2:15">
      <c r="B112" s="12">
        <v>109</v>
      </c>
      <c r="C112" s="13" t="s">
        <v>286</v>
      </c>
      <c r="D112" s="14" t="s">
        <v>287</v>
      </c>
      <c r="E112" s="14" t="s">
        <v>288</v>
      </c>
      <c r="F112" s="15">
        <v>1</v>
      </c>
      <c r="G112" s="16">
        <v>1</v>
      </c>
      <c r="H112" s="17">
        <f>F112 * G112 * 22656.011676</f>
        <v>22656.011675999998</v>
      </c>
      <c r="I112" s="17">
        <f>F112 * G112 * 24134.461512</f>
        <v>24134.461512000002</v>
      </c>
      <c r="J112" s="17">
        <f t="shared" si="14"/>
        <v>0</v>
      </c>
      <c r="K112" s="17">
        <f>F112 * G112 * 22701.323699</f>
        <v>22701.323699</v>
      </c>
      <c r="L112" s="17">
        <f>F112 * G112 * 12682.252932</f>
        <v>12682.252931999999</v>
      </c>
      <c r="M112" s="17">
        <f t="shared" si="8"/>
        <v>0</v>
      </c>
      <c r="N112" s="23">
        <f t="shared" si="16"/>
        <v>821.74049819000004</v>
      </c>
      <c r="O112" s="18">
        <f t="shared" si="9"/>
        <v>82174.049819000007</v>
      </c>
    </row>
    <row r="113" spans="2:15">
      <c r="B113" s="12">
        <v>110</v>
      </c>
      <c r="C113" s="13" t="s">
        <v>289</v>
      </c>
      <c r="D113" s="14" t="s">
        <v>290</v>
      </c>
      <c r="E113" s="14" t="s">
        <v>86</v>
      </c>
      <c r="F113" s="15">
        <v>1</v>
      </c>
      <c r="G113" s="16">
        <v>1</v>
      </c>
      <c r="H113" s="17">
        <f>F113 * G113 * 14906.056619</f>
        <v>14906.056619000001</v>
      </c>
      <c r="I113" s="17">
        <f>F113 * G113 * 66976.437352</f>
        <v>66976.437351999994</v>
      </c>
      <c r="J113" s="17">
        <f t="shared" si="14"/>
        <v>0</v>
      </c>
      <c r="K113" s="17">
        <f>F113 * G113 * 14935.8687319999</f>
        <v>14935.868731999901</v>
      </c>
      <c r="L113" s="17">
        <f>F113 * G113 * 17669.351194</f>
        <v>17669.351193999999</v>
      </c>
      <c r="M113" s="17">
        <f t="shared" si="8"/>
        <v>0</v>
      </c>
      <c r="N113" s="23">
        <f t="shared" si="16"/>
        <v>1144.8771389699989</v>
      </c>
      <c r="O113" s="18">
        <f t="shared" si="9"/>
        <v>114487.71389699989</v>
      </c>
    </row>
    <row r="114" spans="2:15" ht="25.5">
      <c r="B114" s="12">
        <v>111</v>
      </c>
      <c r="C114" s="13" t="s">
        <v>291</v>
      </c>
      <c r="D114" s="14" t="s">
        <v>292</v>
      </c>
      <c r="E114" s="14" t="s">
        <v>293</v>
      </c>
      <c r="F114" s="15">
        <v>1</v>
      </c>
      <c r="G114" s="16">
        <v>1</v>
      </c>
      <c r="H114" s="17">
        <f>F114 * G114 * 215.358167</f>
        <v>215.35816700000001</v>
      </c>
      <c r="I114" s="17">
        <f>F114 * G114 * 688.412626</f>
        <v>688.41262600000005</v>
      </c>
      <c r="J114" s="17">
        <f t="shared" si="14"/>
        <v>0</v>
      </c>
      <c r="K114" s="17">
        <f>F114 * G114 * 215.788883</f>
        <v>215.788883</v>
      </c>
      <c r="L114" s="17">
        <f>F114 * G114 * 204.319641</f>
        <v>204.31964099999999</v>
      </c>
      <c r="M114" s="17">
        <f t="shared" si="8"/>
        <v>0</v>
      </c>
      <c r="N114" s="23">
        <f t="shared" ref="N114" si="17">O114/G114/F114</f>
        <v>1323.8793170000001</v>
      </c>
      <c r="O114" s="18">
        <f t="shared" si="9"/>
        <v>1323.8793170000001</v>
      </c>
    </row>
    <row r="115" spans="2:15" ht="25.5">
      <c r="B115" s="12">
        <v>112</v>
      </c>
      <c r="C115" s="13" t="s">
        <v>294</v>
      </c>
      <c r="D115" s="14" t="s">
        <v>295</v>
      </c>
      <c r="E115" s="14" t="s">
        <v>296</v>
      </c>
      <c r="F115" s="15">
        <v>1</v>
      </c>
      <c r="G115" s="16">
        <v>1</v>
      </c>
      <c r="H115" s="17">
        <f>F115 * G115 * 78488.764164</f>
        <v>78488.764163999993</v>
      </c>
      <c r="I115" s="17">
        <f>F115 * G115 * 15662.16696</f>
        <v>15662.16696</v>
      </c>
      <c r="J115" s="17">
        <f>F115 * G115 * 477.0384</f>
        <v>477.03840000000002</v>
      </c>
      <c r="K115" s="17">
        <f>F115 * G115 * 78954.416574</f>
        <v>78954.416574000003</v>
      </c>
      <c r="L115" s="17">
        <f>F115 * G115 * 31678.785463</f>
        <v>31678.785463</v>
      </c>
      <c r="M115" s="17">
        <f t="shared" si="8"/>
        <v>0</v>
      </c>
      <c r="N115" s="23">
        <f t="shared" si="16"/>
        <v>2052.6117156099999</v>
      </c>
      <c r="O115" s="18">
        <f t="shared" si="9"/>
        <v>205261.171561</v>
      </c>
    </row>
    <row r="116" spans="2:15" ht="25.5">
      <c r="B116" s="12">
        <v>113</v>
      </c>
      <c r="C116" s="13" t="s">
        <v>297</v>
      </c>
      <c r="D116" s="14" t="s">
        <v>298</v>
      </c>
      <c r="E116" s="14" t="s">
        <v>299</v>
      </c>
      <c r="F116" s="15">
        <v>1</v>
      </c>
      <c r="G116" s="16">
        <v>1</v>
      </c>
      <c r="H116" s="17">
        <f>F116 * G116 * 44.04848</f>
        <v>44.048479999999998</v>
      </c>
      <c r="I116" s="17">
        <f>F116 * G116 * 400.473697</f>
        <v>400.47369700000002</v>
      </c>
      <c r="J116" s="17">
        <f>F116 * G116 * 1.21856</f>
        <v>1.2185600000000001</v>
      </c>
      <c r="K116" s="17">
        <f>F116 * G116 * 44.136577</f>
        <v>44.136577000000003</v>
      </c>
      <c r="L116" s="17">
        <f>F116 * G116 * 89.40261</f>
        <v>89.402609999999996</v>
      </c>
      <c r="M116" s="17">
        <f t="shared" si="8"/>
        <v>0</v>
      </c>
      <c r="N116" s="23">
        <f t="shared" ref="N116" si="18">O116/G116/F116</f>
        <v>579.27992400000005</v>
      </c>
      <c r="O116" s="18">
        <f t="shared" si="9"/>
        <v>579.27992400000005</v>
      </c>
    </row>
    <row r="117" spans="2:15" ht="38.25">
      <c r="B117" s="12">
        <v>114</v>
      </c>
      <c r="C117" s="13" t="s">
        <v>300</v>
      </c>
      <c r="D117" s="14" t="s">
        <v>301</v>
      </c>
      <c r="E117" s="14" t="s">
        <v>302</v>
      </c>
      <c r="F117" s="15">
        <v>1</v>
      </c>
      <c r="G117" s="16">
        <v>1</v>
      </c>
      <c r="H117" s="17">
        <f>F117 * G117 * 39698.17</f>
        <v>39698.17</v>
      </c>
      <c r="I117" s="17">
        <f>F117 * G117 * 21397.343352</f>
        <v>21397.343352</v>
      </c>
      <c r="J117" s="17">
        <f t="shared" ref="J117:J148" si="19">F117 * G117 * 0</f>
        <v>0</v>
      </c>
      <c r="K117" s="17">
        <f>F117 * G117 * 39777.56634</f>
        <v>39777.566339999998</v>
      </c>
      <c r="L117" s="17">
        <f>F117 * G117 * 18409.337044</f>
        <v>18409.337044</v>
      </c>
      <c r="M117" s="17">
        <f t="shared" si="8"/>
        <v>0</v>
      </c>
      <c r="N117" s="23">
        <f t="shared" si="16"/>
        <v>1192.82416736</v>
      </c>
      <c r="O117" s="18">
        <f t="shared" si="9"/>
        <v>119282.416736</v>
      </c>
    </row>
    <row r="118" spans="2:15">
      <c r="B118" s="12">
        <v>115</v>
      </c>
      <c r="C118" s="13" t="s">
        <v>303</v>
      </c>
      <c r="D118" s="14" t="s">
        <v>304</v>
      </c>
      <c r="E118" s="14" t="s">
        <v>305</v>
      </c>
      <c r="F118" s="15">
        <v>1</v>
      </c>
      <c r="G118" s="16">
        <v>1</v>
      </c>
      <c r="H118" s="17">
        <f>F118 * G118 * 11730.762</f>
        <v>11730.762000000001</v>
      </c>
      <c r="I118" s="17">
        <f>F118 * G118 * 14557.596895</f>
        <v>14557.596895000001</v>
      </c>
      <c r="J118" s="17">
        <f t="shared" si="19"/>
        <v>0</v>
      </c>
      <c r="K118" s="17">
        <f>F118 * G118 * 11754.223524</f>
        <v>11754.223524000001</v>
      </c>
      <c r="L118" s="17">
        <f>F118 * G118 * 6942.771291</f>
        <v>6942.771291</v>
      </c>
      <c r="M118" s="17">
        <f t="shared" si="8"/>
        <v>0</v>
      </c>
      <c r="N118" s="23">
        <f t="shared" si="16"/>
        <v>449.85353709999998</v>
      </c>
      <c r="O118" s="18">
        <f t="shared" si="9"/>
        <v>44985.353709999996</v>
      </c>
    </row>
    <row r="119" spans="2:15" ht="25.5">
      <c r="B119" s="12">
        <v>116</v>
      </c>
      <c r="C119" s="13" t="s">
        <v>306</v>
      </c>
      <c r="D119" s="14" t="s">
        <v>307</v>
      </c>
      <c r="E119" s="14" t="s">
        <v>308</v>
      </c>
      <c r="F119" s="15">
        <v>1</v>
      </c>
      <c r="G119" s="16">
        <v>1</v>
      </c>
      <c r="H119" s="17">
        <f>F119 * G119 * 4301.2794</f>
        <v>4301.2794000000004</v>
      </c>
      <c r="I119" s="17">
        <f>F119 * G119 * 3117.037041</f>
        <v>3117.037041</v>
      </c>
      <c r="J119" s="17">
        <f t="shared" si="19"/>
        <v>0</v>
      </c>
      <c r="K119" s="17">
        <f>F119 * G119 * 4309.881959</f>
        <v>4309.8819590000003</v>
      </c>
      <c r="L119" s="17">
        <f>F119 * G119 * 2140.396208</f>
        <v>2140.3962080000001</v>
      </c>
      <c r="M119" s="17">
        <f t="shared" si="8"/>
        <v>0</v>
      </c>
      <c r="N119" s="23">
        <f t="shared" si="16"/>
        <v>138.68594608000001</v>
      </c>
      <c r="O119" s="18">
        <f t="shared" si="9"/>
        <v>13868.594608000001</v>
      </c>
    </row>
    <row r="120" spans="2:15">
      <c r="B120" s="12">
        <v>117</v>
      </c>
      <c r="C120" s="13" t="s">
        <v>309</v>
      </c>
      <c r="D120" s="14" t="s">
        <v>310</v>
      </c>
      <c r="E120" s="14" t="s">
        <v>146</v>
      </c>
      <c r="F120" s="15">
        <v>1</v>
      </c>
      <c r="G120" s="16">
        <v>1</v>
      </c>
      <c r="H120" s="17">
        <f>F120 * G120 * 10166.6604</f>
        <v>10166.660400000001</v>
      </c>
      <c r="I120" s="17">
        <f>F120 * G120 * 14177.214475</f>
        <v>14177.214475000001</v>
      </c>
      <c r="J120" s="17">
        <f t="shared" si="19"/>
        <v>0</v>
      </c>
      <c r="K120" s="17">
        <f>F120 * G120 * 10186.9937209999</f>
        <v>10186.993720999901</v>
      </c>
      <c r="L120" s="17">
        <f>F120 * G120 * 6301.883519</f>
        <v>6301.883519</v>
      </c>
      <c r="M120" s="17">
        <f t="shared" si="8"/>
        <v>0</v>
      </c>
      <c r="N120" s="23">
        <f t="shared" si="16"/>
        <v>408.32752114999903</v>
      </c>
      <c r="O120" s="18">
        <f t="shared" si="9"/>
        <v>40832.752114999901</v>
      </c>
    </row>
    <row r="121" spans="2:15">
      <c r="B121" s="12">
        <v>118</v>
      </c>
      <c r="C121" s="13" t="s">
        <v>311</v>
      </c>
      <c r="D121" s="14" t="s">
        <v>312</v>
      </c>
      <c r="E121" s="14" t="s">
        <v>146</v>
      </c>
      <c r="F121" s="15">
        <v>1</v>
      </c>
      <c r="G121" s="16">
        <v>1</v>
      </c>
      <c r="H121" s="17">
        <f>F121 * G121 * 13419.9392</f>
        <v>13419.939200000001</v>
      </c>
      <c r="I121" s="17">
        <f>F121 * G121 * 13551.325036</f>
        <v>13551.325036</v>
      </c>
      <c r="J121" s="17">
        <f t="shared" si="19"/>
        <v>0</v>
      </c>
      <c r="K121" s="17">
        <f>F121 * G121 * 13446.779078</f>
        <v>13446.779078</v>
      </c>
      <c r="L121" s="17">
        <f>F121 * G121 * 7376.29290499999</f>
        <v>7376.2929049999902</v>
      </c>
      <c r="M121" s="17">
        <f t="shared" si="8"/>
        <v>0</v>
      </c>
      <c r="N121" s="23">
        <f t="shared" si="16"/>
        <v>477.9433621899999</v>
      </c>
      <c r="O121" s="18">
        <f t="shared" si="9"/>
        <v>47794.33621899999</v>
      </c>
    </row>
    <row r="122" spans="2:15">
      <c r="B122" s="12">
        <v>119</v>
      </c>
      <c r="C122" s="13" t="s">
        <v>313</v>
      </c>
      <c r="D122" s="14" t="s">
        <v>314</v>
      </c>
      <c r="E122" s="14" t="s">
        <v>146</v>
      </c>
      <c r="F122" s="15">
        <v>1</v>
      </c>
      <c r="G122" s="16">
        <v>1</v>
      </c>
      <c r="H122" s="17">
        <f>F122 * G122 * 5669.8683</f>
        <v>5669.8683000000001</v>
      </c>
      <c r="I122" s="17">
        <f>F122 * G122 * 5806.769871</f>
        <v>5806.7698710000004</v>
      </c>
      <c r="J122" s="17">
        <f t="shared" si="19"/>
        <v>0</v>
      </c>
      <c r="K122" s="17">
        <f>F122 * G122 * 5681.208037</f>
        <v>5681.2080370000003</v>
      </c>
      <c r="L122" s="17">
        <f>F122 * G122 * 3131.306933</f>
        <v>3131.3069329999998</v>
      </c>
      <c r="M122" s="17">
        <f t="shared" si="8"/>
        <v>0</v>
      </c>
      <c r="N122" s="23">
        <f t="shared" si="16"/>
        <v>202.89153141000003</v>
      </c>
      <c r="O122" s="18">
        <f t="shared" si="9"/>
        <v>20289.153141000003</v>
      </c>
    </row>
    <row r="123" spans="2:15">
      <c r="B123" s="12">
        <v>120</v>
      </c>
      <c r="C123" s="13" t="s">
        <v>315</v>
      </c>
      <c r="D123" s="14" t="s">
        <v>316</v>
      </c>
      <c r="E123" s="14" t="s">
        <v>146</v>
      </c>
      <c r="F123" s="15">
        <v>1</v>
      </c>
      <c r="G123" s="16">
        <v>1</v>
      </c>
      <c r="H123" s="17">
        <f>F123 * G123 * 83558.112</f>
        <v>83558.111999999994</v>
      </c>
      <c r="I123" s="17">
        <f>F123 * G123 * 3693.746346</f>
        <v>3693.7463459999999</v>
      </c>
      <c r="J123" s="17">
        <f t="shared" si="19"/>
        <v>0</v>
      </c>
      <c r="K123" s="17">
        <f>F123 * G123 * 83725.2282239999</f>
        <v>83725.228223999904</v>
      </c>
      <c r="L123" s="17">
        <f>F123 * G123 * 31203.318299</f>
        <v>31203.318298999999</v>
      </c>
      <c r="M123" s="17">
        <f t="shared" si="8"/>
        <v>0</v>
      </c>
      <c r="N123" s="23">
        <f t="shared" si="16"/>
        <v>2021.804048689999</v>
      </c>
      <c r="O123" s="18">
        <f t="shared" si="9"/>
        <v>202180.4048689999</v>
      </c>
    </row>
    <row r="124" spans="2:15">
      <c r="B124" s="12">
        <v>121</v>
      </c>
      <c r="C124" s="13" t="s">
        <v>317</v>
      </c>
      <c r="D124" s="14" t="s">
        <v>318</v>
      </c>
      <c r="E124" s="14" t="s">
        <v>146</v>
      </c>
      <c r="F124" s="15">
        <v>1</v>
      </c>
      <c r="G124" s="16">
        <v>1</v>
      </c>
      <c r="H124" s="17">
        <f>F124 * G124 * 73429.856</f>
        <v>73429.856</v>
      </c>
      <c r="I124" s="17">
        <f>F124 * G124 * 3693.746346</f>
        <v>3693.7463459999999</v>
      </c>
      <c r="J124" s="17">
        <f t="shared" si="19"/>
        <v>0</v>
      </c>
      <c r="K124" s="17">
        <f>F124 * G124 * 73576.715712</f>
        <v>73576.715712000005</v>
      </c>
      <c r="L124" s="17">
        <f>F124 * G124 * 27502.8080449999</f>
        <v>27502.8080449999</v>
      </c>
      <c r="M124" s="17">
        <f t="shared" si="8"/>
        <v>0</v>
      </c>
      <c r="N124" s="23">
        <f t="shared" si="16"/>
        <v>1782.0312610299991</v>
      </c>
      <c r="O124" s="18">
        <f t="shared" si="9"/>
        <v>178203.1261029999</v>
      </c>
    </row>
    <row r="125" spans="2:15">
      <c r="B125" s="12">
        <v>122</v>
      </c>
      <c r="C125" s="13" t="s">
        <v>319</v>
      </c>
      <c r="D125" s="14" t="s">
        <v>320</v>
      </c>
      <c r="E125" s="14" t="s">
        <v>321</v>
      </c>
      <c r="F125" s="15">
        <v>1</v>
      </c>
      <c r="G125" s="16">
        <v>1</v>
      </c>
      <c r="H125" s="17">
        <f>F125 * G125 * 8809.696</f>
        <v>8809.6959999999999</v>
      </c>
      <c r="I125" s="17">
        <f>F125 * G125 * 369.374635</f>
        <v>369.37463500000001</v>
      </c>
      <c r="J125" s="17">
        <f t="shared" si="19"/>
        <v>0</v>
      </c>
      <c r="K125" s="17">
        <f>F125 * G125 * 8827.315392</f>
        <v>8827.3153920000004</v>
      </c>
      <c r="L125" s="17">
        <f>F125 * G125 * 3286.16545</f>
        <v>3286.16545</v>
      </c>
      <c r="M125" s="17">
        <f t="shared" si="8"/>
        <v>0</v>
      </c>
      <c r="N125" s="23">
        <f t="shared" si="16"/>
        <v>212.92551477000001</v>
      </c>
      <c r="O125" s="18">
        <f t="shared" si="9"/>
        <v>21292.551477000001</v>
      </c>
    </row>
    <row r="126" spans="2:15" ht="25.5">
      <c r="B126" s="12">
        <v>123</v>
      </c>
      <c r="C126" s="13" t="s">
        <v>322</v>
      </c>
      <c r="D126" s="14" t="s">
        <v>323</v>
      </c>
      <c r="E126" s="14" t="s">
        <v>324</v>
      </c>
      <c r="F126" s="15">
        <v>1</v>
      </c>
      <c r="G126" s="16">
        <v>1</v>
      </c>
      <c r="H126" s="17">
        <f>F126 * G126 * 12591.248025</f>
        <v>12591.248025000001</v>
      </c>
      <c r="I126" s="17">
        <f>F126 * G126 * 1399.171243</f>
        <v>1399.171243</v>
      </c>
      <c r="J126" s="17">
        <f t="shared" si="19"/>
        <v>0</v>
      </c>
      <c r="K126" s="17">
        <f>F126 * G126 * 12616.4305219999</f>
        <v>12616.430521999901</v>
      </c>
      <c r="L126" s="17">
        <f>F126 * G126 * 4855.750086</f>
        <v>4855.750086</v>
      </c>
      <c r="M126" s="17">
        <f t="shared" si="8"/>
        <v>0</v>
      </c>
      <c r="N126" s="23">
        <f t="shared" si="16"/>
        <v>314.62599875999899</v>
      </c>
      <c r="O126" s="18">
        <f t="shared" si="9"/>
        <v>31462.599875999902</v>
      </c>
    </row>
    <row r="127" spans="2:15" ht="25.5">
      <c r="B127" s="12">
        <v>124</v>
      </c>
      <c r="C127" s="13" t="s">
        <v>325</v>
      </c>
      <c r="D127" s="14" t="s">
        <v>326</v>
      </c>
      <c r="E127" s="14" t="s">
        <v>324</v>
      </c>
      <c r="F127" s="15">
        <v>1</v>
      </c>
      <c r="G127" s="16">
        <v>1</v>
      </c>
      <c r="H127" s="17">
        <f>F127 * G127 * 16199.701329</f>
        <v>16199.701329</v>
      </c>
      <c r="I127" s="17">
        <f>F127 * G127 * 1986.104747</f>
        <v>1986.1047470000001</v>
      </c>
      <c r="J127" s="17">
        <f t="shared" si="19"/>
        <v>0</v>
      </c>
      <c r="K127" s="17">
        <f>F127 * G127 * 16232.1007309999</f>
        <v>16232.1007309999</v>
      </c>
      <c r="L127" s="17">
        <f>F127 * G127 * 6281.26799299999</f>
        <v>6281.2679929999904</v>
      </c>
      <c r="M127" s="17">
        <f t="shared" si="8"/>
        <v>0</v>
      </c>
      <c r="N127" s="23">
        <f t="shared" si="16"/>
        <v>406.99174799999889</v>
      </c>
      <c r="O127" s="18">
        <f t="shared" si="9"/>
        <v>40699.174799999892</v>
      </c>
    </row>
    <row r="128" spans="2:15">
      <c r="B128" s="12">
        <v>125</v>
      </c>
      <c r="C128" s="13" t="s">
        <v>327</v>
      </c>
      <c r="D128" s="14" t="s">
        <v>328</v>
      </c>
      <c r="E128" s="14" t="s">
        <v>329</v>
      </c>
      <c r="F128" s="15">
        <v>1</v>
      </c>
      <c r="G128" s="16">
        <v>1</v>
      </c>
      <c r="H128" s="17">
        <f>F128 * G128 * 8932.08825</f>
        <v>8932.0882500000007</v>
      </c>
      <c r="I128" s="17">
        <f>F128 * G128 * 1610.30625</f>
        <v>1610.3062500000001</v>
      </c>
      <c r="J128" s="17">
        <f t="shared" si="19"/>
        <v>0</v>
      </c>
      <c r="K128" s="17">
        <f>F128 * G128 * 8949.952427</f>
        <v>8949.9524270000002</v>
      </c>
      <c r="L128" s="17">
        <f>F128 * G128 * 3557.353314</f>
        <v>3557.353314</v>
      </c>
      <c r="M128" s="17">
        <f t="shared" si="8"/>
        <v>0</v>
      </c>
      <c r="N128" s="23">
        <f t="shared" si="16"/>
        <v>230.49700240999999</v>
      </c>
      <c r="O128" s="18">
        <f t="shared" si="9"/>
        <v>23049.700240999999</v>
      </c>
    </row>
    <row r="129" spans="2:15">
      <c r="B129" s="12">
        <v>126</v>
      </c>
      <c r="C129" s="13" t="s">
        <v>330</v>
      </c>
      <c r="D129" s="14" t="s">
        <v>331</v>
      </c>
      <c r="E129" s="14" t="s">
        <v>329</v>
      </c>
      <c r="F129" s="15">
        <v>1</v>
      </c>
      <c r="G129" s="16">
        <v>1</v>
      </c>
      <c r="H129" s="17">
        <f>F129 * G129 * 17070.2131</f>
        <v>17070.213100000001</v>
      </c>
      <c r="I129" s="17">
        <f>F129 * G129 * 5782.423878</f>
        <v>5782.4238779999996</v>
      </c>
      <c r="J129" s="17">
        <f t="shared" si="19"/>
        <v>0</v>
      </c>
      <c r="K129" s="17">
        <f>F129 * G129 * 17104.353526</f>
        <v>17104.353525999999</v>
      </c>
      <c r="L129" s="17">
        <f>F129 * G129 * 7292.15076699999</f>
        <v>7292.1507669999901</v>
      </c>
      <c r="M129" s="17">
        <f t="shared" si="8"/>
        <v>0</v>
      </c>
      <c r="N129" s="23">
        <f t="shared" si="16"/>
        <v>472.49141270999991</v>
      </c>
      <c r="O129" s="18">
        <f t="shared" si="9"/>
        <v>47249.141270999993</v>
      </c>
    </row>
    <row r="130" spans="2:15" ht="25.5">
      <c r="B130" s="12">
        <v>127</v>
      </c>
      <c r="C130" s="13" t="s">
        <v>332</v>
      </c>
      <c r="D130" s="14" t="s">
        <v>333</v>
      </c>
      <c r="E130" s="14" t="s">
        <v>334</v>
      </c>
      <c r="F130" s="15">
        <v>1</v>
      </c>
      <c r="G130" s="16">
        <v>1</v>
      </c>
      <c r="H130" s="17">
        <f>F130 * G130 * 28631.512</f>
        <v>28631.511999999999</v>
      </c>
      <c r="I130" s="17">
        <f>F130 * G130 * 366368.555674</f>
        <v>366368.555674</v>
      </c>
      <c r="J130" s="17">
        <f t="shared" si="19"/>
        <v>0</v>
      </c>
      <c r="K130" s="17">
        <f>F130 * G130 * 28688.775024</f>
        <v>28688.775023999999</v>
      </c>
      <c r="L130" s="17">
        <f>F130 * G130 * 77323.213792</f>
        <v>77323.213791999995</v>
      </c>
      <c r="M130" s="17">
        <f t="shared" si="8"/>
        <v>0</v>
      </c>
      <c r="N130" s="23">
        <f t="shared" si="16"/>
        <v>5010.1205649000003</v>
      </c>
      <c r="O130" s="18">
        <f t="shared" si="9"/>
        <v>501012.05648999999</v>
      </c>
    </row>
    <row r="131" spans="2:15" ht="25.5">
      <c r="B131" s="12">
        <v>128</v>
      </c>
      <c r="C131" s="13" t="s">
        <v>335</v>
      </c>
      <c r="D131" s="14" t="s">
        <v>336</v>
      </c>
      <c r="E131" s="14" t="s">
        <v>337</v>
      </c>
      <c r="F131" s="15">
        <v>1</v>
      </c>
      <c r="G131" s="16">
        <v>1</v>
      </c>
      <c r="H131" s="17">
        <f>F131 * G131 * 17937.34184</f>
        <v>17937.341840000001</v>
      </c>
      <c r="I131" s="17">
        <f>F131 * G131 * 48477.992962</f>
        <v>48477.992961999997</v>
      </c>
      <c r="J131" s="17">
        <f t="shared" si="19"/>
        <v>0</v>
      </c>
      <c r="K131" s="17">
        <f>F131 * G131 * 17973.216524</f>
        <v>17973.216523999999</v>
      </c>
      <c r="L131" s="17">
        <f>F131 * G131 * 15400.910617</f>
        <v>15400.910617</v>
      </c>
      <c r="M131" s="17">
        <f t="shared" si="8"/>
        <v>0</v>
      </c>
      <c r="N131" s="23">
        <f t="shared" ref="N131:N133" si="20">O131/G131/F131</f>
        <v>99789.461943000002</v>
      </c>
      <c r="O131" s="18">
        <f t="shared" si="9"/>
        <v>99789.461943000002</v>
      </c>
    </row>
    <row r="132" spans="2:15">
      <c r="B132" s="12">
        <v>129</v>
      </c>
      <c r="C132" s="13" t="s">
        <v>338</v>
      </c>
      <c r="D132" s="14" t="s">
        <v>339</v>
      </c>
      <c r="E132" s="14" t="s">
        <v>337</v>
      </c>
      <c r="F132" s="15">
        <v>1</v>
      </c>
      <c r="G132" s="16">
        <v>1</v>
      </c>
      <c r="H132" s="17">
        <f>F132 * G132 * 1315.8867</f>
        <v>1315.8867</v>
      </c>
      <c r="I132" s="17">
        <f>F132 * G132 * 81737.95872</f>
        <v>81737.958719999995</v>
      </c>
      <c r="J132" s="17">
        <f t="shared" si="19"/>
        <v>0</v>
      </c>
      <c r="K132" s="17">
        <f>F132 * G132 * 1318.518473</f>
        <v>1318.5184730000001</v>
      </c>
      <c r="L132" s="17">
        <f>F132 * G132 * 15397.956411</f>
        <v>15397.956410999999</v>
      </c>
      <c r="M132" s="17">
        <f t="shared" ref="M132:M195" si="21">F132 * G132 * 0</f>
        <v>0</v>
      </c>
      <c r="N132" s="23">
        <f t="shared" si="20"/>
        <v>99770.320303999993</v>
      </c>
      <c r="O132" s="18">
        <f t="shared" ref="O132:O195" si="22">SUM(H132:M132)</f>
        <v>99770.320303999993</v>
      </c>
    </row>
    <row r="133" spans="2:15">
      <c r="B133" s="12">
        <v>130</v>
      </c>
      <c r="C133" s="13" t="s">
        <v>340</v>
      </c>
      <c r="D133" s="14" t="s">
        <v>341</v>
      </c>
      <c r="E133" s="14" t="s">
        <v>337</v>
      </c>
      <c r="F133" s="15">
        <v>1</v>
      </c>
      <c r="G133" s="16">
        <v>1</v>
      </c>
      <c r="H133" s="17">
        <f>F133 * G133 * 603.464176</f>
        <v>603.46417599999995</v>
      </c>
      <c r="I133" s="17">
        <f>F133 * G133 * 0</f>
        <v>0</v>
      </c>
      <c r="J133" s="17">
        <f t="shared" si="19"/>
        <v>0</v>
      </c>
      <c r="K133" s="17">
        <f>F133 * G133 * 604.671104</f>
        <v>604.67110400000001</v>
      </c>
      <c r="L133" s="17">
        <f>F133 * G133 * 220.484689</f>
        <v>220.484689</v>
      </c>
      <c r="M133" s="17">
        <f t="shared" si="21"/>
        <v>0</v>
      </c>
      <c r="N133" s="23">
        <f t="shared" si="20"/>
        <v>1428.6199689999999</v>
      </c>
      <c r="O133" s="18">
        <f t="shared" si="22"/>
        <v>1428.6199689999999</v>
      </c>
    </row>
    <row r="134" spans="2:15" ht="25.5">
      <c r="B134" s="12">
        <v>131</v>
      </c>
      <c r="C134" s="13" t="s">
        <v>342</v>
      </c>
      <c r="D134" s="14" t="s">
        <v>343</v>
      </c>
      <c r="E134" s="14" t="s">
        <v>344</v>
      </c>
      <c r="F134" s="15">
        <v>1</v>
      </c>
      <c r="G134" s="16">
        <v>1</v>
      </c>
      <c r="H134" s="17">
        <f>F134 * G134 * 12901.90525</f>
        <v>12901.90525</v>
      </c>
      <c r="I134" s="17">
        <f>F134 * G134 * 41400.619328</f>
        <v>41400.619328000001</v>
      </c>
      <c r="J134" s="17">
        <f t="shared" si="19"/>
        <v>0</v>
      </c>
      <c r="K134" s="17">
        <f>F134 * G134 * 12927.70906</f>
        <v>12927.709059999999</v>
      </c>
      <c r="L134" s="17">
        <f>F134 * G134 * 12269.517639</f>
        <v>12269.517639</v>
      </c>
      <c r="M134" s="17">
        <f t="shared" si="21"/>
        <v>0</v>
      </c>
      <c r="N134" s="23">
        <f t="shared" si="16"/>
        <v>794.99751276999984</v>
      </c>
      <c r="O134" s="18">
        <f t="shared" si="22"/>
        <v>79499.751276999988</v>
      </c>
    </row>
    <row r="135" spans="2:15" ht="25.5">
      <c r="B135" s="12">
        <v>132</v>
      </c>
      <c r="C135" s="13" t="s">
        <v>345</v>
      </c>
      <c r="D135" s="14" t="s">
        <v>346</v>
      </c>
      <c r="E135" s="14" t="s">
        <v>344</v>
      </c>
      <c r="F135" s="15">
        <v>1</v>
      </c>
      <c r="G135" s="16">
        <v>1</v>
      </c>
      <c r="H135" s="17">
        <f>F135 * G135 * 13894.3595</f>
        <v>13894.3595</v>
      </c>
      <c r="I135" s="17">
        <f>F135 * G135 * 55439.215328</f>
        <v>55439.215327999998</v>
      </c>
      <c r="J135" s="17">
        <f t="shared" si="19"/>
        <v>0</v>
      </c>
      <c r="K135" s="17">
        <f>F135 * G135 * 13922.1482189999</f>
        <v>13922.148218999901</v>
      </c>
      <c r="L135" s="17">
        <f>F135 * G135 * 15194.169457</f>
        <v>15194.169457</v>
      </c>
      <c r="M135" s="17">
        <f t="shared" si="21"/>
        <v>0</v>
      </c>
      <c r="N135" s="23">
        <f t="shared" si="16"/>
        <v>984.49892503999888</v>
      </c>
      <c r="O135" s="18">
        <f t="shared" si="22"/>
        <v>98449.892503999887</v>
      </c>
    </row>
    <row r="136" spans="2:15" ht="25.5">
      <c r="B136" s="12">
        <v>133</v>
      </c>
      <c r="C136" s="13" t="s">
        <v>347</v>
      </c>
      <c r="D136" s="14" t="s">
        <v>348</v>
      </c>
      <c r="E136" s="14" t="s">
        <v>344</v>
      </c>
      <c r="F136" s="15">
        <v>1</v>
      </c>
      <c r="G136" s="16">
        <v>1</v>
      </c>
      <c r="H136" s="17">
        <f>F136 * G136 * 20570.522896</f>
        <v>20570.522895999999</v>
      </c>
      <c r="I136" s="17">
        <f>F136 * G136 * 71908.647928</f>
        <v>71908.647928000006</v>
      </c>
      <c r="J136" s="17">
        <f t="shared" si="19"/>
        <v>0</v>
      </c>
      <c r="K136" s="17">
        <f>F136 * G136 * 20611.663942</f>
        <v>20611.663941999999</v>
      </c>
      <c r="L136" s="17">
        <f>F136 * G136 * 20639.0773439999</f>
        <v>20639.077343999899</v>
      </c>
      <c r="M136" s="17">
        <f t="shared" si="21"/>
        <v>0</v>
      </c>
      <c r="N136" s="23">
        <f t="shared" si="16"/>
        <v>1337.299121099999</v>
      </c>
      <c r="O136" s="18">
        <f t="shared" si="22"/>
        <v>133729.91210999989</v>
      </c>
    </row>
    <row r="137" spans="2:15" ht="25.5">
      <c r="B137" s="12">
        <v>134</v>
      </c>
      <c r="C137" s="13" t="s">
        <v>349</v>
      </c>
      <c r="D137" s="14" t="s">
        <v>350</v>
      </c>
      <c r="E137" s="14" t="s">
        <v>344</v>
      </c>
      <c r="F137" s="15">
        <v>1</v>
      </c>
      <c r="G137" s="16">
        <v>1</v>
      </c>
      <c r="H137" s="17">
        <f>F137 * G137 * 23543.850395</f>
        <v>23543.850395000001</v>
      </c>
      <c r="I137" s="17">
        <f>F137 * G137 * 81440.195641</f>
        <v>81440.195640999998</v>
      </c>
      <c r="J137" s="17">
        <f t="shared" si="19"/>
        <v>0</v>
      </c>
      <c r="K137" s="17">
        <f>F137 * G137 * 23590.9380959999</f>
        <v>23590.9380959999</v>
      </c>
      <c r="L137" s="17">
        <f>F137 * G137 * 23464.934604</f>
        <v>23464.934603999998</v>
      </c>
      <c r="M137" s="17">
        <f t="shared" si="21"/>
        <v>0</v>
      </c>
      <c r="N137" s="23">
        <f t="shared" si="16"/>
        <v>1520.3991873599991</v>
      </c>
      <c r="O137" s="18">
        <f t="shared" si="22"/>
        <v>152039.91873599991</v>
      </c>
    </row>
    <row r="138" spans="2:15" ht="25.5">
      <c r="B138" s="12">
        <v>135</v>
      </c>
      <c r="C138" s="13" t="s">
        <v>351</v>
      </c>
      <c r="D138" s="14" t="s">
        <v>352</v>
      </c>
      <c r="E138" s="14" t="s">
        <v>344</v>
      </c>
      <c r="F138" s="15">
        <v>1</v>
      </c>
      <c r="G138" s="16">
        <v>1</v>
      </c>
      <c r="H138" s="17">
        <f>F138 * G138 * 30623.168338</f>
        <v>30623.168337999999</v>
      </c>
      <c r="I138" s="17">
        <f>F138 * G138 * 104192.197434</f>
        <v>104192.197434</v>
      </c>
      <c r="J138" s="17">
        <f t="shared" si="19"/>
        <v>0</v>
      </c>
      <c r="K138" s="17">
        <f>F138 * G138 * 30684.414675</f>
        <v>30684.414675</v>
      </c>
      <c r="L138" s="17">
        <f>F138 * G138 * 30203.7099319999</f>
        <v>30203.7099319999</v>
      </c>
      <c r="M138" s="17">
        <f t="shared" si="21"/>
        <v>0</v>
      </c>
      <c r="N138" s="23">
        <f t="shared" si="16"/>
        <v>1957.0349037899991</v>
      </c>
      <c r="O138" s="18">
        <f t="shared" si="22"/>
        <v>195703.49037899991</v>
      </c>
    </row>
    <row r="139" spans="2:15" ht="25.5">
      <c r="B139" s="12">
        <v>136</v>
      </c>
      <c r="C139" s="13" t="s">
        <v>353</v>
      </c>
      <c r="D139" s="14" t="s">
        <v>354</v>
      </c>
      <c r="E139" s="14" t="s">
        <v>344</v>
      </c>
      <c r="F139" s="15">
        <v>1</v>
      </c>
      <c r="G139" s="16">
        <v>1</v>
      </c>
      <c r="H139" s="17">
        <f>F139 * G139 * 33539.660562</f>
        <v>33539.660561999997</v>
      </c>
      <c r="I139" s="17">
        <f>F139 * G139 * 129699.428041</f>
        <v>129699.42804100001</v>
      </c>
      <c r="J139" s="17">
        <f t="shared" si="19"/>
        <v>0</v>
      </c>
      <c r="K139" s="17">
        <f>F139 * G139 * 33606.739883</f>
        <v>33606.739883000002</v>
      </c>
      <c r="L139" s="17">
        <f>F139 * G139 * 35924.363698</f>
        <v>35924.363698000001</v>
      </c>
      <c r="M139" s="17">
        <f t="shared" si="21"/>
        <v>0</v>
      </c>
      <c r="N139" s="23">
        <f t="shared" si="16"/>
        <v>2327.7019218400001</v>
      </c>
      <c r="O139" s="18">
        <f t="shared" si="22"/>
        <v>232770.19218400001</v>
      </c>
    </row>
    <row r="140" spans="2:15" ht="25.5">
      <c r="B140" s="12">
        <v>137</v>
      </c>
      <c r="C140" s="13" t="s">
        <v>355</v>
      </c>
      <c r="D140" s="14" t="s">
        <v>356</v>
      </c>
      <c r="E140" s="14" t="s">
        <v>344</v>
      </c>
      <c r="F140" s="15">
        <v>1</v>
      </c>
      <c r="G140" s="16">
        <v>1</v>
      </c>
      <c r="H140" s="17">
        <f>F140 * G140 * 24811.35625</f>
        <v>24811.356250000001</v>
      </c>
      <c r="I140" s="17">
        <f>F140 * G140 * 121034.496817</f>
        <v>121034.49681700001</v>
      </c>
      <c r="J140" s="17">
        <f t="shared" si="19"/>
        <v>0</v>
      </c>
      <c r="K140" s="17">
        <f>F140 * G140 * 24860.978963</f>
        <v>24860.978963000001</v>
      </c>
      <c r="L140" s="17">
        <f>F140 * G140 * 31153.996845</f>
        <v>31153.996845000001</v>
      </c>
      <c r="M140" s="17">
        <f t="shared" si="21"/>
        <v>0</v>
      </c>
      <c r="N140" s="23">
        <f t="shared" si="16"/>
        <v>2018.6082887500002</v>
      </c>
      <c r="O140" s="18">
        <f t="shared" si="22"/>
        <v>201860.82887500001</v>
      </c>
    </row>
    <row r="141" spans="2:15" ht="51">
      <c r="B141" s="12">
        <v>138</v>
      </c>
      <c r="C141" s="13" t="s">
        <v>357</v>
      </c>
      <c r="D141" s="14" t="s">
        <v>358</v>
      </c>
      <c r="E141" s="14" t="s">
        <v>359</v>
      </c>
      <c r="F141" s="15">
        <v>1</v>
      </c>
      <c r="G141" s="16">
        <v>1</v>
      </c>
      <c r="H141" s="17">
        <f>F141 * G141 * 354.590264</f>
        <v>354.59026399999999</v>
      </c>
      <c r="I141" s="17">
        <f>F141 * G141 * 280.251972</f>
        <v>280.25197200000002</v>
      </c>
      <c r="J141" s="17">
        <f t="shared" si="19"/>
        <v>0</v>
      </c>
      <c r="K141" s="17">
        <f>F141 * G141 * 355.299445</f>
        <v>355.29944499999999</v>
      </c>
      <c r="L141" s="17">
        <f>F141 * G141 * 180.700856999999</f>
        <v>180.70085699999899</v>
      </c>
      <c r="M141" s="17">
        <f t="shared" si="21"/>
        <v>0</v>
      </c>
      <c r="N141" s="23">
        <f>O141/G141/F141</f>
        <v>1170.842537999999</v>
      </c>
      <c r="O141" s="18">
        <f t="shared" si="22"/>
        <v>1170.842537999999</v>
      </c>
    </row>
    <row r="142" spans="2:15" ht="51">
      <c r="B142" s="12">
        <v>139</v>
      </c>
      <c r="C142" s="13" t="s">
        <v>360</v>
      </c>
      <c r="D142" s="14" t="s">
        <v>361</v>
      </c>
      <c r="E142" s="14" t="s">
        <v>359</v>
      </c>
      <c r="F142" s="15">
        <v>1</v>
      </c>
      <c r="G142" s="16">
        <v>1</v>
      </c>
      <c r="H142" s="17">
        <f>F142 * G142 * 383.221776</f>
        <v>383.22177599999998</v>
      </c>
      <c r="I142" s="17">
        <f>F142 * G142 * 369.576857</f>
        <v>369.57685700000002</v>
      </c>
      <c r="J142" s="17">
        <f t="shared" si="19"/>
        <v>0</v>
      </c>
      <c r="K142" s="17">
        <f>F142 * G142 * 383.988219</f>
        <v>383.98821900000002</v>
      </c>
      <c r="L142" s="17">
        <f>F142 * G142 * 207.463600999999</f>
        <v>207.46360099999899</v>
      </c>
      <c r="M142" s="17">
        <f t="shared" si="21"/>
        <v>0</v>
      </c>
      <c r="N142" s="23">
        <f t="shared" ref="N142:N143" si="23">O142/G142/F142</f>
        <v>1344.250452999999</v>
      </c>
      <c r="O142" s="18">
        <f t="shared" si="22"/>
        <v>1344.250452999999</v>
      </c>
    </row>
    <row r="143" spans="2:15" ht="51">
      <c r="B143" s="12">
        <v>140</v>
      </c>
      <c r="C143" s="13" t="s">
        <v>362</v>
      </c>
      <c r="D143" s="14" t="s">
        <v>363</v>
      </c>
      <c r="E143" s="14" t="s">
        <v>359</v>
      </c>
      <c r="F143" s="15">
        <v>1</v>
      </c>
      <c r="G143" s="16">
        <v>1</v>
      </c>
      <c r="H143" s="17">
        <f>F143 * G143 * 403.043592</f>
        <v>403.04359199999999</v>
      </c>
      <c r="I143" s="17">
        <f>F143 * G143 * 472.072303</f>
        <v>472.07230299999998</v>
      </c>
      <c r="J143" s="17">
        <f t="shared" si="19"/>
        <v>0</v>
      </c>
      <c r="K143" s="17">
        <f>F143 * G143 * 403.849679</f>
        <v>403.84967899999998</v>
      </c>
      <c r="L143" s="17">
        <f>F143 * G143 * 233.411217</f>
        <v>233.41121699999999</v>
      </c>
      <c r="M143" s="17">
        <f t="shared" si="21"/>
        <v>0</v>
      </c>
      <c r="N143" s="23">
        <f t="shared" si="23"/>
        <v>1512.3767909999999</v>
      </c>
      <c r="O143" s="18">
        <f t="shared" si="22"/>
        <v>1512.3767909999999</v>
      </c>
    </row>
    <row r="144" spans="2:15" ht="25.5">
      <c r="B144" s="12">
        <v>141</v>
      </c>
      <c r="C144" s="13" t="s">
        <v>364</v>
      </c>
      <c r="D144" s="14" t="s">
        <v>365</v>
      </c>
      <c r="E144" s="14" t="s">
        <v>366</v>
      </c>
      <c r="F144" s="15">
        <v>1</v>
      </c>
      <c r="G144" s="16">
        <v>1</v>
      </c>
      <c r="H144" s="17">
        <f>F144 * G144 * 11244.1615</f>
        <v>11244.1615</v>
      </c>
      <c r="I144" s="17">
        <f>F144 * G144 * 855093.430372</f>
        <v>855093.43037199997</v>
      </c>
      <c r="J144" s="17">
        <f t="shared" si="19"/>
        <v>0</v>
      </c>
      <c r="K144" s="17">
        <f>F144 * G144 * 11266.649823</f>
        <v>11266.649823</v>
      </c>
      <c r="L144" s="17">
        <f>F144 * G144 * 160162.774109</f>
        <v>160162.77410899999</v>
      </c>
      <c r="M144" s="17">
        <f t="shared" si="21"/>
        <v>0</v>
      </c>
      <c r="N144" s="23">
        <f t="shared" si="16"/>
        <v>10377.67015804</v>
      </c>
      <c r="O144" s="18">
        <f t="shared" si="22"/>
        <v>1037767.015804</v>
      </c>
    </row>
    <row r="145" spans="2:15" ht="25.5">
      <c r="B145" s="12">
        <v>142</v>
      </c>
      <c r="C145" s="13" t="s">
        <v>367</v>
      </c>
      <c r="D145" s="14" t="s">
        <v>368</v>
      </c>
      <c r="E145" s="14" t="s">
        <v>366</v>
      </c>
      <c r="F145" s="15">
        <v>1</v>
      </c>
      <c r="G145" s="16">
        <v>1</v>
      </c>
      <c r="H145" s="17">
        <f>F145 * G145 * 14310.751</f>
        <v>14310.751</v>
      </c>
      <c r="I145" s="17">
        <f>F145 * G145 * 1361871.838372</f>
        <v>1361871.838372</v>
      </c>
      <c r="J145" s="17">
        <f t="shared" si="19"/>
        <v>0</v>
      </c>
      <c r="K145" s="17">
        <f>F145 * G145 * 14339.372502</f>
        <v>14339.372502</v>
      </c>
      <c r="L145" s="17">
        <f>F145 * G145 * 253770.258042</f>
        <v>253770.258042</v>
      </c>
      <c r="M145" s="17">
        <f t="shared" si="21"/>
        <v>0</v>
      </c>
      <c r="N145" s="23">
        <f t="shared" si="16"/>
        <v>16442.922199159999</v>
      </c>
      <c r="O145" s="18">
        <f t="shared" si="22"/>
        <v>1644292.219916</v>
      </c>
    </row>
    <row r="146" spans="2:15">
      <c r="B146" s="12">
        <v>143</v>
      </c>
      <c r="C146" s="13" t="s">
        <v>369</v>
      </c>
      <c r="D146" s="14" t="s">
        <v>370</v>
      </c>
      <c r="E146" s="14" t="s">
        <v>371</v>
      </c>
      <c r="F146" s="15">
        <v>1</v>
      </c>
      <c r="G146" s="16">
        <v>1</v>
      </c>
      <c r="H146" s="17">
        <f>F146 * G146 * 6361.56195</f>
        <v>6361.5619500000003</v>
      </c>
      <c r="I146" s="17">
        <f>F146 * G146 * 100098.133001</f>
        <v>100098.13300099999</v>
      </c>
      <c r="J146" s="17">
        <f t="shared" si="19"/>
        <v>0</v>
      </c>
      <c r="K146" s="17">
        <f>F146 * G146 * 6374.28507399999</f>
        <v>6374.2850739999903</v>
      </c>
      <c r="L146" s="17">
        <f>F146 * G146 * 20592.2013549999</f>
        <v>20592.201354999899</v>
      </c>
      <c r="M146" s="17">
        <f t="shared" si="21"/>
        <v>0</v>
      </c>
      <c r="N146" s="23">
        <f t="shared" si="16"/>
        <v>1334.2618137999989</v>
      </c>
      <c r="O146" s="18">
        <f t="shared" si="22"/>
        <v>133426.18137999988</v>
      </c>
    </row>
    <row r="147" spans="2:15">
      <c r="B147" s="12">
        <v>144</v>
      </c>
      <c r="C147" s="13" t="s">
        <v>372</v>
      </c>
      <c r="D147" s="14" t="s">
        <v>373</v>
      </c>
      <c r="E147" s="14" t="s">
        <v>371</v>
      </c>
      <c r="F147" s="15">
        <v>1</v>
      </c>
      <c r="G147" s="16">
        <v>1</v>
      </c>
      <c r="H147" s="17">
        <f>F147 * G147 * 6361.56195</f>
        <v>6361.5619500000003</v>
      </c>
      <c r="I147" s="17">
        <f>F147 * G147 * 91435.363001</f>
        <v>91435.363001000005</v>
      </c>
      <c r="J147" s="17">
        <f t="shared" si="19"/>
        <v>0</v>
      </c>
      <c r="K147" s="17">
        <f>F147 * G147 * 6374.28507399999</f>
        <v>6374.2850739999903</v>
      </c>
      <c r="L147" s="17">
        <f>F147 * G147 * 19011.24583</f>
        <v>19011.24583</v>
      </c>
      <c r="M147" s="17">
        <f t="shared" si="21"/>
        <v>0</v>
      </c>
      <c r="N147" s="23">
        <f t="shared" si="16"/>
        <v>1231.8245585499999</v>
      </c>
      <c r="O147" s="18">
        <f t="shared" si="22"/>
        <v>123182.45585499999</v>
      </c>
    </row>
    <row r="148" spans="2:15" ht="25.5">
      <c r="B148" s="12">
        <v>145</v>
      </c>
      <c r="C148" s="13" t="s">
        <v>374</v>
      </c>
      <c r="D148" s="14" t="s">
        <v>375</v>
      </c>
      <c r="E148" s="14" t="s">
        <v>376</v>
      </c>
      <c r="F148" s="15">
        <v>1</v>
      </c>
      <c r="G148" s="16">
        <v>1</v>
      </c>
      <c r="H148" s="17">
        <f>F148 * G148 * 18426.474</f>
        <v>18426.473999999998</v>
      </c>
      <c r="I148" s="17">
        <f>F148 * G148 * 326484.268708</f>
        <v>326484.26870800002</v>
      </c>
      <c r="J148" s="17">
        <f t="shared" si="19"/>
        <v>0</v>
      </c>
      <c r="K148" s="17">
        <f>F148 * G148 * 18463.326948</f>
        <v>18463.326948000002</v>
      </c>
      <c r="L148" s="17">
        <f>F148 * G148 * 66315.767712</f>
        <v>66315.767712000001</v>
      </c>
      <c r="M148" s="17">
        <f t="shared" si="21"/>
        <v>0</v>
      </c>
      <c r="N148" s="23">
        <f t="shared" si="16"/>
        <v>4296.8983736800001</v>
      </c>
      <c r="O148" s="18">
        <f t="shared" si="22"/>
        <v>429689.83736800001</v>
      </c>
    </row>
    <row r="149" spans="2:15" ht="38.25">
      <c r="B149" s="12">
        <v>146</v>
      </c>
      <c r="C149" s="13" t="s">
        <v>377</v>
      </c>
      <c r="D149" s="14" t="s">
        <v>378</v>
      </c>
      <c r="E149" s="14" t="s">
        <v>379</v>
      </c>
      <c r="F149" s="15">
        <v>1</v>
      </c>
      <c r="G149" s="16">
        <v>1</v>
      </c>
      <c r="H149" s="17">
        <f>F149 * G149 * 24010.254</f>
        <v>24010.254000000001</v>
      </c>
      <c r="I149" s="17">
        <f>F149 * G149 * 6388.705528</f>
        <v>6388.7055280000004</v>
      </c>
      <c r="J149" s="17">
        <f t="shared" ref="J149:J180" si="24">F149 * G149 * 0</f>
        <v>0</v>
      </c>
      <c r="K149" s="17">
        <f>F149 * G149 * 24058.274508</f>
        <v>24058.274507999999</v>
      </c>
      <c r="L149" s="17">
        <f>F149 * G149 * 9938.445212</f>
        <v>9938.4452120000005</v>
      </c>
      <c r="M149" s="17">
        <f t="shared" si="21"/>
        <v>0</v>
      </c>
      <c r="N149" s="23">
        <f t="shared" si="16"/>
        <v>643.95679247999988</v>
      </c>
      <c r="O149" s="18">
        <f t="shared" si="22"/>
        <v>64395.679247999993</v>
      </c>
    </row>
    <row r="150" spans="2:15" ht="38.25">
      <c r="B150" s="12">
        <v>147</v>
      </c>
      <c r="C150" s="13" t="s">
        <v>380</v>
      </c>
      <c r="D150" s="14" t="s">
        <v>381</v>
      </c>
      <c r="E150" s="14" t="s">
        <v>379</v>
      </c>
      <c r="F150" s="15">
        <v>1</v>
      </c>
      <c r="G150" s="16">
        <v>1</v>
      </c>
      <c r="H150" s="17">
        <f>F150 * G150 * 24010.254</f>
        <v>24010.254000000001</v>
      </c>
      <c r="I150" s="17">
        <f>F150 * G150 * 1185.407582</f>
        <v>1185.407582</v>
      </c>
      <c r="J150" s="17">
        <f t="shared" si="24"/>
        <v>0</v>
      </c>
      <c r="K150" s="17">
        <f>F150 * G150 * 24058.274508</f>
        <v>24058.274507999999</v>
      </c>
      <c r="L150" s="17">
        <f>F150 * G150 * 8988.843337</f>
        <v>8988.8433370000002</v>
      </c>
      <c r="M150" s="17">
        <f t="shared" si="21"/>
        <v>0</v>
      </c>
      <c r="N150" s="23">
        <f t="shared" si="16"/>
        <v>582.42779427000005</v>
      </c>
      <c r="O150" s="18">
        <f t="shared" si="22"/>
        <v>58242.779427000001</v>
      </c>
    </row>
    <row r="151" spans="2:15" ht="38.25">
      <c r="B151" s="12">
        <v>148</v>
      </c>
      <c r="C151" s="13" t="s">
        <v>382</v>
      </c>
      <c r="D151" s="14" t="s">
        <v>383</v>
      </c>
      <c r="E151" s="14" t="s">
        <v>379</v>
      </c>
      <c r="F151" s="15">
        <v>1</v>
      </c>
      <c r="G151" s="16">
        <v>1</v>
      </c>
      <c r="H151" s="17">
        <f>F151 * G151 * 24010.254</f>
        <v>24010.254000000001</v>
      </c>
      <c r="I151" s="17">
        <f>F151 * G151 * 2166.830132</f>
        <v>2166.830132</v>
      </c>
      <c r="J151" s="17">
        <f t="shared" si="24"/>
        <v>0</v>
      </c>
      <c r="K151" s="17">
        <f>F151 * G151 * 24058.274508</f>
        <v>24058.274507999999</v>
      </c>
      <c r="L151" s="17">
        <f>F151 * G151 * 9167.952952</f>
        <v>9167.9529519999996</v>
      </c>
      <c r="M151" s="17">
        <f t="shared" si="21"/>
        <v>0</v>
      </c>
      <c r="N151" s="23">
        <f t="shared" si="16"/>
        <v>594.03311592</v>
      </c>
      <c r="O151" s="18">
        <f t="shared" si="22"/>
        <v>59403.311591999998</v>
      </c>
    </row>
    <row r="152" spans="2:15">
      <c r="B152" s="12">
        <v>149</v>
      </c>
      <c r="C152" s="13" t="s">
        <v>384</v>
      </c>
      <c r="D152" s="14" t="s">
        <v>385</v>
      </c>
      <c r="E152" s="14" t="s">
        <v>386</v>
      </c>
      <c r="F152" s="15">
        <v>1</v>
      </c>
      <c r="G152" s="16">
        <v>1</v>
      </c>
      <c r="H152" s="17">
        <f>F152 * G152 * 458.104192</f>
        <v>458.10419200000001</v>
      </c>
      <c r="I152" s="17">
        <f>F152 * G152 * 35617.610992</f>
        <v>35617.610992000002</v>
      </c>
      <c r="J152" s="17">
        <f t="shared" si="24"/>
        <v>0</v>
      </c>
      <c r="K152" s="17">
        <f>F152 * G152 * 459.0204</f>
        <v>459.0204</v>
      </c>
      <c r="L152" s="17">
        <f>F152 * G152 * 6667.589244</f>
        <v>6667.5892439999998</v>
      </c>
      <c r="M152" s="17">
        <f t="shared" si="21"/>
        <v>0</v>
      </c>
      <c r="N152" s="23">
        <f>O152/G152/F152</f>
        <v>43202.324828000004</v>
      </c>
      <c r="O152" s="18">
        <f t="shared" si="22"/>
        <v>43202.324828000004</v>
      </c>
    </row>
    <row r="153" spans="2:15">
      <c r="B153" s="12">
        <v>150</v>
      </c>
      <c r="C153" s="13" t="s">
        <v>387</v>
      </c>
      <c r="D153" s="14" t="s">
        <v>388</v>
      </c>
      <c r="E153" s="14" t="s">
        <v>386</v>
      </c>
      <c r="F153" s="15">
        <v>1</v>
      </c>
      <c r="G153" s="16">
        <v>1</v>
      </c>
      <c r="H153" s="17">
        <f>F153 * G153 * 557.213272</f>
        <v>557.21327199999996</v>
      </c>
      <c r="I153" s="17">
        <f>F153 * G153 * 96030.67476</f>
        <v>96030.674759999994</v>
      </c>
      <c r="J153" s="17">
        <f t="shared" si="24"/>
        <v>0</v>
      </c>
      <c r="K153" s="17">
        <f>F153 * G153 * 558.327698</f>
        <v>558.32769800000005</v>
      </c>
      <c r="L153" s="17">
        <f>F153 * G153 * 17729.184371</f>
        <v>17729.184370999999</v>
      </c>
      <c r="M153" s="17">
        <f t="shared" si="21"/>
        <v>0</v>
      </c>
      <c r="N153" s="23">
        <f t="shared" ref="N153:N159" si="25">O153/G153/F153</f>
        <v>114875.40010099998</v>
      </c>
      <c r="O153" s="18">
        <f t="shared" si="22"/>
        <v>114875.40010099998</v>
      </c>
    </row>
    <row r="154" spans="2:15">
      <c r="B154" s="12">
        <v>151</v>
      </c>
      <c r="C154" s="13" t="s">
        <v>389</v>
      </c>
      <c r="D154" s="14" t="s">
        <v>390</v>
      </c>
      <c r="E154" s="14" t="s">
        <v>391</v>
      </c>
      <c r="F154" s="15">
        <v>1</v>
      </c>
      <c r="G154" s="16">
        <v>1</v>
      </c>
      <c r="H154" s="17">
        <f>F154 * G154 * 3038.4768</f>
        <v>3038.4767999999999</v>
      </c>
      <c r="I154" s="17">
        <f>F154 * G154 * 24773.356468</f>
        <v>24773.356468000002</v>
      </c>
      <c r="J154" s="17">
        <f t="shared" si="24"/>
        <v>0</v>
      </c>
      <c r="K154" s="17">
        <f>F154 * G154 * 3044.553754</f>
        <v>3044.553754</v>
      </c>
      <c r="L154" s="17">
        <f>F154 * G154 * 5631.290632</f>
        <v>5631.2906320000002</v>
      </c>
      <c r="M154" s="17">
        <f t="shared" si="21"/>
        <v>0</v>
      </c>
      <c r="N154" s="23">
        <f t="shared" si="25"/>
        <v>36487.677653999999</v>
      </c>
      <c r="O154" s="18">
        <f t="shared" si="22"/>
        <v>36487.677653999999</v>
      </c>
    </row>
    <row r="155" spans="2:15">
      <c r="B155" s="12">
        <v>152</v>
      </c>
      <c r="C155" s="13" t="s">
        <v>392</v>
      </c>
      <c r="D155" s="14" t="s">
        <v>393</v>
      </c>
      <c r="E155" s="14" t="s">
        <v>394</v>
      </c>
      <c r="F155" s="15">
        <v>1</v>
      </c>
      <c r="G155" s="16">
        <v>1</v>
      </c>
      <c r="H155" s="17">
        <f>F155 * G155 * 4557.7152</f>
        <v>4557.7151999999996</v>
      </c>
      <c r="I155" s="17">
        <f>F155 * G155 * 27409.241281</f>
        <v>27409.241280999999</v>
      </c>
      <c r="J155" s="17">
        <f t="shared" si="24"/>
        <v>0</v>
      </c>
      <c r="K155" s="17">
        <f>F155 * G155 * 4566.83063</f>
        <v>4566.8306300000004</v>
      </c>
      <c r="L155" s="17">
        <f>F155 * G155 * 6667.416147</f>
        <v>6667.4161469999999</v>
      </c>
      <c r="M155" s="17">
        <f t="shared" si="21"/>
        <v>0</v>
      </c>
      <c r="N155" s="23">
        <f t="shared" si="25"/>
        <v>43201.203257999994</v>
      </c>
      <c r="O155" s="18">
        <f t="shared" si="22"/>
        <v>43201.203257999994</v>
      </c>
    </row>
    <row r="156" spans="2:15">
      <c r="B156" s="12">
        <v>153</v>
      </c>
      <c r="C156" s="13" t="s">
        <v>395</v>
      </c>
      <c r="D156" s="14" t="s">
        <v>396</v>
      </c>
      <c r="E156" s="14" t="s">
        <v>394</v>
      </c>
      <c r="F156" s="15">
        <v>1</v>
      </c>
      <c r="G156" s="16">
        <v>1</v>
      </c>
      <c r="H156" s="17">
        <f>F156 * G156 * 5570.5408</f>
        <v>5570.5407999999998</v>
      </c>
      <c r="I156" s="17">
        <f>F156 * G156 * 37662.234981</f>
        <v>37662.234981000001</v>
      </c>
      <c r="J156" s="17">
        <f t="shared" si="24"/>
        <v>0</v>
      </c>
      <c r="K156" s="17">
        <f>F156 * G156 * 5581.681882</f>
        <v>5581.6818819999999</v>
      </c>
      <c r="L156" s="17">
        <f>F156 * G156 * 8908.638524</f>
        <v>8908.638524</v>
      </c>
      <c r="M156" s="17">
        <f t="shared" si="21"/>
        <v>0</v>
      </c>
      <c r="N156" s="23">
        <f t="shared" si="25"/>
        <v>57723.096187000003</v>
      </c>
      <c r="O156" s="18">
        <f t="shared" si="22"/>
        <v>57723.096187000003</v>
      </c>
    </row>
    <row r="157" spans="2:15">
      <c r="B157" s="12">
        <v>154</v>
      </c>
      <c r="C157" s="13" t="s">
        <v>397</v>
      </c>
      <c r="D157" s="14" t="s">
        <v>398</v>
      </c>
      <c r="E157" s="14" t="s">
        <v>394</v>
      </c>
      <c r="F157" s="15">
        <v>1</v>
      </c>
      <c r="G157" s="16">
        <v>1</v>
      </c>
      <c r="H157" s="17">
        <f>F157 * G157 * 592.452056</f>
        <v>592.45205599999997</v>
      </c>
      <c r="I157" s="17">
        <f>F157 * G157 * 8078.48904</f>
        <v>8078.4890400000004</v>
      </c>
      <c r="J157" s="17">
        <f t="shared" si="24"/>
        <v>0</v>
      </c>
      <c r="K157" s="17">
        <f>F157 * G157 * 593.63696</f>
        <v>593.63696000000004</v>
      </c>
      <c r="L157" s="17">
        <f>F157 * G157 * 1690.785495</f>
        <v>1690.7854950000001</v>
      </c>
      <c r="M157" s="17">
        <f t="shared" si="21"/>
        <v>0</v>
      </c>
      <c r="N157" s="23">
        <f t="shared" si="25"/>
        <v>10955.363551</v>
      </c>
      <c r="O157" s="18">
        <f t="shared" si="22"/>
        <v>10955.363551</v>
      </c>
    </row>
    <row r="158" spans="2:15">
      <c r="B158" s="12">
        <v>155</v>
      </c>
      <c r="C158" s="13" t="s">
        <v>399</v>
      </c>
      <c r="D158" s="14" t="s">
        <v>400</v>
      </c>
      <c r="E158" s="14" t="s">
        <v>394</v>
      </c>
      <c r="F158" s="15">
        <v>1</v>
      </c>
      <c r="G158" s="16">
        <v>1</v>
      </c>
      <c r="H158" s="17">
        <f>F158 * G158 * 1083.592608</f>
        <v>1083.5926079999999</v>
      </c>
      <c r="I158" s="17">
        <f>F158 * G158 * 19512.01224</f>
        <v>19512.01224</v>
      </c>
      <c r="J158" s="17">
        <f t="shared" si="24"/>
        <v>0</v>
      </c>
      <c r="K158" s="17">
        <f>F158 * G158 * 1085.759794</f>
        <v>1085.7597940000001</v>
      </c>
      <c r="L158" s="17">
        <f>F158 * G158 * 3956.84904699999</f>
        <v>3956.8490469999902</v>
      </c>
      <c r="M158" s="17">
        <f t="shared" si="21"/>
        <v>0</v>
      </c>
      <c r="N158" s="23">
        <f t="shared" si="25"/>
        <v>25638.213688999989</v>
      </c>
      <c r="O158" s="18">
        <f t="shared" si="22"/>
        <v>25638.213688999989</v>
      </c>
    </row>
    <row r="159" spans="2:15">
      <c r="B159" s="12">
        <v>156</v>
      </c>
      <c r="C159" s="13" t="s">
        <v>401</v>
      </c>
      <c r="D159" s="14" t="s">
        <v>402</v>
      </c>
      <c r="E159" s="14" t="s">
        <v>403</v>
      </c>
      <c r="F159" s="15">
        <v>1</v>
      </c>
      <c r="G159" s="16">
        <v>1</v>
      </c>
      <c r="H159" s="17">
        <f>F159 * G159 * 2753.03</f>
        <v>2753.03</v>
      </c>
      <c r="I159" s="17">
        <f>F159 * G159 * 7550.292567</f>
        <v>7550.2925670000004</v>
      </c>
      <c r="J159" s="17">
        <f t="shared" si="24"/>
        <v>0</v>
      </c>
      <c r="K159" s="17">
        <f>F159 * G159 * 2758.53606</f>
        <v>2758.5360599999999</v>
      </c>
      <c r="L159" s="17">
        <f>F159 * G159 * 2383.789199</f>
        <v>2383.7891989999998</v>
      </c>
      <c r="M159" s="17">
        <f t="shared" si="21"/>
        <v>0</v>
      </c>
      <c r="N159" s="23">
        <f t="shared" si="25"/>
        <v>15445.647826</v>
      </c>
      <c r="O159" s="18">
        <f t="shared" si="22"/>
        <v>15445.647826</v>
      </c>
    </row>
    <row r="160" spans="2:15" ht="25.5">
      <c r="B160" s="12">
        <v>157</v>
      </c>
      <c r="C160" s="13" t="s">
        <v>404</v>
      </c>
      <c r="D160" s="14" t="s">
        <v>405</v>
      </c>
      <c r="E160" s="14" t="s">
        <v>406</v>
      </c>
      <c r="F160" s="15">
        <v>1</v>
      </c>
      <c r="G160" s="16">
        <v>1</v>
      </c>
      <c r="H160" s="17">
        <f>F160 * G160 * 157051.685</f>
        <v>157051.685</v>
      </c>
      <c r="I160" s="17">
        <f>F160 * G160 * 12143.413966</f>
        <v>12143.413966</v>
      </c>
      <c r="J160" s="17">
        <f t="shared" si="24"/>
        <v>0</v>
      </c>
      <c r="K160" s="17">
        <f>F160 * G160 * 157365.78837</f>
        <v>157365.78836999999</v>
      </c>
      <c r="L160" s="17">
        <f>F160 * G160 * 59597.3619389999</f>
        <v>59597.3619389999</v>
      </c>
      <c r="M160" s="17">
        <f t="shared" si="21"/>
        <v>0</v>
      </c>
      <c r="N160" s="23">
        <f t="shared" si="16"/>
        <v>3861.5824927499989</v>
      </c>
      <c r="O160" s="18">
        <f t="shared" si="22"/>
        <v>386158.24927499989</v>
      </c>
    </row>
    <row r="161" spans="2:15" ht="25.5">
      <c r="B161" s="12">
        <v>158</v>
      </c>
      <c r="C161" s="13" t="s">
        <v>407</v>
      </c>
      <c r="D161" s="14" t="s">
        <v>408</v>
      </c>
      <c r="E161" s="14" t="s">
        <v>406</v>
      </c>
      <c r="F161" s="15">
        <v>1</v>
      </c>
      <c r="G161" s="16">
        <v>1</v>
      </c>
      <c r="H161" s="17">
        <f>F161 * G161 * 201923.595</f>
        <v>201923.595</v>
      </c>
      <c r="I161" s="17">
        <f>F161 * G161 * 13376.267193</f>
        <v>13376.267193</v>
      </c>
      <c r="J161" s="17">
        <f t="shared" si="24"/>
        <v>0</v>
      </c>
      <c r="K161" s="17">
        <f>F161 * G161 * 202327.44219</f>
        <v>202327.44219</v>
      </c>
      <c r="L161" s="17">
        <f>F161 * G161 * 76216.98305</f>
        <v>76216.983049999995</v>
      </c>
      <c r="M161" s="17">
        <f t="shared" si="21"/>
        <v>0</v>
      </c>
      <c r="N161" s="23">
        <f t="shared" si="16"/>
        <v>4938.4428743299995</v>
      </c>
      <c r="O161" s="18">
        <f t="shared" si="22"/>
        <v>493844.28743299999</v>
      </c>
    </row>
    <row r="162" spans="2:15" ht="25.5">
      <c r="B162" s="12">
        <v>159</v>
      </c>
      <c r="C162" s="13" t="s">
        <v>409</v>
      </c>
      <c r="D162" s="14" t="s">
        <v>410</v>
      </c>
      <c r="E162" s="14" t="s">
        <v>406</v>
      </c>
      <c r="F162" s="15">
        <v>1</v>
      </c>
      <c r="G162" s="16">
        <v>1</v>
      </c>
      <c r="H162" s="17">
        <f>F162 * G162 * 226603.1455</f>
        <v>226603.14550000001</v>
      </c>
      <c r="I162" s="17">
        <f>F162 * G162 * 13639.08504</f>
        <v>13639.08504</v>
      </c>
      <c r="J162" s="17">
        <f t="shared" si="24"/>
        <v>0</v>
      </c>
      <c r="K162" s="17">
        <f>F162 * G162 * 227056.351791</f>
        <v>227056.35179099999</v>
      </c>
      <c r="L162" s="17">
        <f>F162 * G162 * 85281.991276</f>
        <v>85281.991276000001</v>
      </c>
      <c r="M162" s="17">
        <f t="shared" si="21"/>
        <v>0</v>
      </c>
      <c r="N162" s="23">
        <f t="shared" si="16"/>
        <v>5525.8057360700004</v>
      </c>
      <c r="O162" s="18">
        <f t="shared" si="22"/>
        <v>552580.57360700006</v>
      </c>
    </row>
    <row r="163" spans="2:15">
      <c r="B163" s="12">
        <v>160</v>
      </c>
      <c r="C163" s="13" t="s">
        <v>411</v>
      </c>
      <c r="D163" s="14" t="s">
        <v>412</v>
      </c>
      <c r="E163" s="14" t="s">
        <v>249</v>
      </c>
      <c r="F163" s="15">
        <v>1</v>
      </c>
      <c r="G163" s="16">
        <v>1</v>
      </c>
      <c r="H163" s="17">
        <f>F163 * G163 * 28621.502</f>
        <v>28621.502</v>
      </c>
      <c r="I163" s="17">
        <f>F163 * G163 * 495971.411856</f>
        <v>495971.41185600002</v>
      </c>
      <c r="J163" s="17">
        <f t="shared" si="24"/>
        <v>0</v>
      </c>
      <c r="K163" s="17">
        <f>F163 * G163 * 28678.745004</f>
        <v>28678.745004</v>
      </c>
      <c r="L163" s="17">
        <f>F163 * G163 * 100972.077742</f>
        <v>100972.07774199999</v>
      </c>
      <c r="M163" s="17">
        <f t="shared" si="21"/>
        <v>0</v>
      </c>
      <c r="N163" s="23">
        <f t="shared" si="16"/>
        <v>6542.4373660200008</v>
      </c>
      <c r="O163" s="18">
        <f t="shared" si="22"/>
        <v>654243.73660200008</v>
      </c>
    </row>
    <row r="164" spans="2:15">
      <c r="B164" s="12">
        <v>161</v>
      </c>
      <c r="C164" s="13" t="s">
        <v>413</v>
      </c>
      <c r="D164" s="14" t="s">
        <v>414</v>
      </c>
      <c r="E164" s="14" t="s">
        <v>249</v>
      </c>
      <c r="F164" s="15">
        <v>1</v>
      </c>
      <c r="G164" s="16">
        <v>1</v>
      </c>
      <c r="H164" s="17">
        <f>F164 * G164 * 33221.38625</f>
        <v>33221.386250000003</v>
      </c>
      <c r="I164" s="17">
        <f>F164 * G164 * 1101626.381811</f>
        <v>1101626.3818109999</v>
      </c>
      <c r="J164" s="17">
        <f t="shared" si="24"/>
        <v>0</v>
      </c>
      <c r="K164" s="17">
        <f>F164 * G164 * 33287.829023</f>
        <v>33287.829022999998</v>
      </c>
      <c r="L164" s="17">
        <f>F164 * G164 * 213184.746467</f>
        <v>213184.74646699999</v>
      </c>
      <c r="M164" s="17">
        <f t="shared" si="21"/>
        <v>0</v>
      </c>
      <c r="N164" s="23">
        <f t="shared" si="16"/>
        <v>13813.20343551</v>
      </c>
      <c r="O164" s="18">
        <f t="shared" si="22"/>
        <v>1381320.3435510001</v>
      </c>
    </row>
    <row r="165" spans="2:15">
      <c r="B165" s="12">
        <v>162</v>
      </c>
      <c r="C165" s="13" t="s">
        <v>415</v>
      </c>
      <c r="D165" s="14" t="s">
        <v>416</v>
      </c>
      <c r="E165" s="14" t="s">
        <v>249</v>
      </c>
      <c r="F165" s="15">
        <v>1</v>
      </c>
      <c r="G165" s="16">
        <v>1</v>
      </c>
      <c r="H165" s="17">
        <f>F165 * G165 * 37821.2705</f>
        <v>37821.270499999999</v>
      </c>
      <c r="I165" s="17">
        <f>F165 * G165 * 1547642.710627</f>
        <v>1547642.7106270001</v>
      </c>
      <c r="J165" s="17">
        <f t="shared" si="24"/>
        <v>0</v>
      </c>
      <c r="K165" s="17">
        <f>F165 * G165 * 37896.913041</f>
        <v>37896.913041</v>
      </c>
      <c r="L165" s="17">
        <f>F165 * G165 * 296263.363186</f>
        <v>296263.36318599997</v>
      </c>
      <c r="M165" s="17">
        <f t="shared" si="21"/>
        <v>0</v>
      </c>
      <c r="N165" s="23">
        <f t="shared" si="16"/>
        <v>19196.242573540003</v>
      </c>
      <c r="O165" s="18">
        <f t="shared" si="22"/>
        <v>1919624.2573540001</v>
      </c>
    </row>
    <row r="166" spans="2:15" ht="25.5">
      <c r="B166" s="12">
        <v>163</v>
      </c>
      <c r="C166" s="13" t="s">
        <v>417</v>
      </c>
      <c r="D166" s="14" t="s">
        <v>418</v>
      </c>
      <c r="E166" s="14" t="s">
        <v>249</v>
      </c>
      <c r="F166" s="15">
        <v>1</v>
      </c>
      <c r="G166" s="16">
        <v>1</v>
      </c>
      <c r="H166" s="17">
        <f>F166 * G166 * 41910.0565</f>
        <v>41910.056499999999</v>
      </c>
      <c r="I166" s="17">
        <f>F166 * G166 * 10125.114072</f>
        <v>10125.114072</v>
      </c>
      <c r="J166" s="17">
        <f t="shared" si="24"/>
        <v>0</v>
      </c>
      <c r="K166" s="17">
        <f>F166 * G166 * 41993.876613</f>
        <v>41993.876613</v>
      </c>
      <c r="L166" s="17">
        <f>F166 * G166 * 17160.301111</f>
        <v>17160.301111000001</v>
      </c>
      <c r="M166" s="17">
        <f t="shared" si="21"/>
        <v>0</v>
      </c>
      <c r="N166" s="23">
        <f t="shared" si="16"/>
        <v>1111.89348296</v>
      </c>
      <c r="O166" s="18">
        <f t="shared" si="22"/>
        <v>111189.34829600001</v>
      </c>
    </row>
    <row r="167" spans="2:15" ht="25.5">
      <c r="B167" s="12">
        <v>164</v>
      </c>
      <c r="C167" s="13" t="s">
        <v>419</v>
      </c>
      <c r="D167" s="14" t="s">
        <v>420</v>
      </c>
      <c r="E167" s="14" t="s">
        <v>249</v>
      </c>
      <c r="F167" s="15">
        <v>1</v>
      </c>
      <c r="G167" s="16">
        <v>1</v>
      </c>
      <c r="H167" s="17">
        <f>F167 * G167 * 55198.611</f>
        <v>55198.610999999997</v>
      </c>
      <c r="I167" s="17">
        <f>F167 * G167 * 32540.179281</f>
        <v>32540.179281000001</v>
      </c>
      <c r="J167" s="17">
        <f t="shared" si="24"/>
        <v>0</v>
      </c>
      <c r="K167" s="17">
        <f>F167 * G167 * 55309.008222</f>
        <v>55309.008221999997</v>
      </c>
      <c r="L167" s="17">
        <f>F167 * G167 * 26106.223227</f>
        <v>26106.223226999999</v>
      </c>
      <c r="M167" s="17">
        <f t="shared" si="21"/>
        <v>0</v>
      </c>
      <c r="N167" s="23">
        <f t="shared" si="16"/>
        <v>1691.5402173</v>
      </c>
      <c r="O167" s="18">
        <f t="shared" si="22"/>
        <v>169154.02173000001</v>
      </c>
    </row>
    <row r="168" spans="2:15" ht="25.5">
      <c r="B168" s="12">
        <v>165</v>
      </c>
      <c r="C168" s="13" t="s">
        <v>421</v>
      </c>
      <c r="D168" s="14" t="s">
        <v>422</v>
      </c>
      <c r="E168" s="14" t="s">
        <v>423</v>
      </c>
      <c r="F168" s="15">
        <v>1</v>
      </c>
      <c r="G168" s="16">
        <v>1</v>
      </c>
      <c r="H168" s="17">
        <f>F168 * G168 * 7564.2541</f>
        <v>7564.2541000000001</v>
      </c>
      <c r="I168" s="17">
        <f>F168 * G168 * 24456.755883</f>
        <v>24456.755883000002</v>
      </c>
      <c r="J168" s="17">
        <f t="shared" si="24"/>
        <v>0</v>
      </c>
      <c r="K168" s="17">
        <f>F168 * G168 * 7579.382608</f>
        <v>7579.3826079999999</v>
      </c>
      <c r="L168" s="17">
        <f>F168 * G168 * 7227.071648</f>
        <v>7227.0716480000001</v>
      </c>
      <c r="M168" s="17">
        <f t="shared" si="21"/>
        <v>0</v>
      </c>
      <c r="N168" s="23">
        <f t="shared" si="16"/>
        <v>468.27464239</v>
      </c>
      <c r="O168" s="18">
        <f t="shared" si="22"/>
        <v>46827.464239000001</v>
      </c>
    </row>
    <row r="169" spans="2:15" ht="25.5">
      <c r="B169" s="12">
        <v>166</v>
      </c>
      <c r="C169" s="13" t="s">
        <v>424</v>
      </c>
      <c r="D169" s="14" t="s">
        <v>425</v>
      </c>
      <c r="E169" s="14" t="s">
        <v>423</v>
      </c>
      <c r="F169" s="15">
        <v>1</v>
      </c>
      <c r="G169" s="16">
        <v>1</v>
      </c>
      <c r="H169" s="17">
        <f>F169 * G169 * 7870.91305</f>
        <v>7870.9130500000001</v>
      </c>
      <c r="I169" s="17">
        <f>F169 * G169 * 25442.986327</f>
        <v>25442.986326999999</v>
      </c>
      <c r="J169" s="17">
        <f t="shared" si="24"/>
        <v>0</v>
      </c>
      <c r="K169" s="17">
        <f>F169 * G169 * 7886.654876</f>
        <v>7886.6548759999996</v>
      </c>
      <c r="L169" s="17">
        <f>F169 * G169 * 7519.101151</f>
        <v>7519.1011509999998</v>
      </c>
      <c r="M169" s="17">
        <f t="shared" si="21"/>
        <v>0</v>
      </c>
      <c r="N169" s="23">
        <f t="shared" si="16"/>
        <v>487.19655404000002</v>
      </c>
      <c r="O169" s="18">
        <f t="shared" si="22"/>
        <v>48719.655404000005</v>
      </c>
    </row>
    <row r="170" spans="2:15" ht="25.5">
      <c r="B170" s="12">
        <v>167</v>
      </c>
      <c r="C170" s="13" t="s">
        <v>426</v>
      </c>
      <c r="D170" s="14" t="s">
        <v>427</v>
      </c>
      <c r="E170" s="14" t="s">
        <v>423</v>
      </c>
      <c r="F170" s="15">
        <v>1</v>
      </c>
      <c r="G170" s="16">
        <v>1</v>
      </c>
      <c r="H170" s="17">
        <f>F170 * G170 * 8484.23095</f>
        <v>8484.2309499999992</v>
      </c>
      <c r="I170" s="17">
        <f>F170 * G170 * 35547.09277</f>
        <v>35547.092770000003</v>
      </c>
      <c r="J170" s="17">
        <f t="shared" si="24"/>
        <v>0</v>
      </c>
      <c r="K170" s="17">
        <f>F170 * G170 * 8501.199412</f>
        <v>8501.1994119999999</v>
      </c>
      <c r="L170" s="17">
        <f>F170 * G170 * 9587.185472</f>
        <v>9587.1854719999992</v>
      </c>
      <c r="M170" s="17">
        <f t="shared" si="21"/>
        <v>0</v>
      </c>
      <c r="N170" s="23">
        <f t="shared" si="16"/>
        <v>621.19708604000004</v>
      </c>
      <c r="O170" s="18">
        <f t="shared" si="22"/>
        <v>62119.708603999999</v>
      </c>
    </row>
    <row r="171" spans="2:15">
      <c r="B171" s="12">
        <v>168</v>
      </c>
      <c r="C171" s="13" t="s">
        <v>428</v>
      </c>
      <c r="D171" s="14" t="s">
        <v>429</v>
      </c>
      <c r="E171" s="14" t="s">
        <v>430</v>
      </c>
      <c r="F171" s="15">
        <v>1</v>
      </c>
      <c r="G171" s="16">
        <v>1</v>
      </c>
      <c r="H171" s="17">
        <f>F171 * G171 * 1440.4</f>
        <v>1440.4</v>
      </c>
      <c r="I171" s="17">
        <f>F171 * G171 * 13463.79531</f>
        <v>13463.79531</v>
      </c>
      <c r="J171" s="17">
        <f t="shared" si="24"/>
        <v>0</v>
      </c>
      <c r="K171" s="17">
        <f>F171 * G171 * 1443.2808</f>
        <v>1443.2808</v>
      </c>
      <c r="L171" s="17">
        <f>F171 * G171 * 2983.41439</f>
        <v>2983.4143899999999</v>
      </c>
      <c r="M171" s="17">
        <f t="shared" si="21"/>
        <v>0</v>
      </c>
      <c r="N171" s="23">
        <f t="shared" si="16"/>
        <v>193.30890500000001</v>
      </c>
      <c r="O171" s="18">
        <f t="shared" si="22"/>
        <v>19330.890500000001</v>
      </c>
    </row>
    <row r="172" spans="2:15">
      <c r="B172" s="12">
        <v>169</v>
      </c>
      <c r="C172" s="13" t="s">
        <v>431</v>
      </c>
      <c r="D172" s="14" t="s">
        <v>432</v>
      </c>
      <c r="E172" s="14" t="s">
        <v>430</v>
      </c>
      <c r="F172" s="15">
        <v>1</v>
      </c>
      <c r="G172" s="16">
        <v>1</v>
      </c>
      <c r="H172" s="17">
        <f>F172 * G172 * 1440.4</f>
        <v>1440.4</v>
      </c>
      <c r="I172" s="17">
        <f>F172 * G172 * 19879.466812</f>
        <v>19879.466811999999</v>
      </c>
      <c r="J172" s="17">
        <f t="shared" si="24"/>
        <v>0</v>
      </c>
      <c r="K172" s="17">
        <f>F172 * G172 * 1443.2808</f>
        <v>1443.2808</v>
      </c>
      <c r="L172" s="17">
        <f>F172 * G172 * 4154.274439</f>
        <v>4154.2744389999998</v>
      </c>
      <c r="M172" s="17">
        <f t="shared" si="21"/>
        <v>0</v>
      </c>
      <c r="N172" s="23">
        <f t="shared" si="16"/>
        <v>269.17422051</v>
      </c>
      <c r="O172" s="18">
        <f t="shared" si="22"/>
        <v>26917.422051000001</v>
      </c>
    </row>
    <row r="173" spans="2:15">
      <c r="B173" s="12">
        <v>170</v>
      </c>
      <c r="C173" s="13" t="s">
        <v>433</v>
      </c>
      <c r="D173" s="14" t="s">
        <v>434</v>
      </c>
      <c r="E173" s="14" t="s">
        <v>430</v>
      </c>
      <c r="F173" s="15">
        <v>1</v>
      </c>
      <c r="G173" s="16">
        <v>1</v>
      </c>
      <c r="H173" s="17">
        <f>F173 * G173 * 1440.4</f>
        <v>1440.4</v>
      </c>
      <c r="I173" s="17">
        <f>F173 * G173 * 39319.462218</f>
        <v>39319.462218000001</v>
      </c>
      <c r="J173" s="17">
        <f t="shared" si="24"/>
        <v>0</v>
      </c>
      <c r="K173" s="17">
        <f>F173 * G173 * 1443.2808</f>
        <v>1443.2808</v>
      </c>
      <c r="L173" s="17">
        <f>F173 * G173 * 7702.0736</f>
        <v>7702.0735999999997</v>
      </c>
      <c r="M173" s="17">
        <f t="shared" si="21"/>
        <v>0</v>
      </c>
      <c r="N173" s="23">
        <f t="shared" si="16"/>
        <v>499.05216618000009</v>
      </c>
      <c r="O173" s="18">
        <f t="shared" si="22"/>
        <v>49905.216618000006</v>
      </c>
    </row>
    <row r="174" spans="2:15" ht="25.5">
      <c r="B174" s="12">
        <v>171</v>
      </c>
      <c r="C174" s="13" t="s">
        <v>435</v>
      </c>
      <c r="D174" s="14" t="s">
        <v>436</v>
      </c>
      <c r="E174" s="14" t="s">
        <v>423</v>
      </c>
      <c r="F174" s="15">
        <v>1</v>
      </c>
      <c r="G174" s="16">
        <v>1</v>
      </c>
      <c r="H174" s="17">
        <f>F174 * G174 * 12276.6985</f>
        <v>12276.6985</v>
      </c>
      <c r="I174" s="17">
        <f>F174 * G174 * 43714.345074</f>
        <v>43714.345073999997</v>
      </c>
      <c r="J174" s="17">
        <f t="shared" si="24"/>
        <v>0</v>
      </c>
      <c r="K174" s="17">
        <f>F174 * G174 * 12301.251897</f>
        <v>12301.251897</v>
      </c>
      <c r="L174" s="17">
        <f>F174 * G174 * 12463.343923</f>
        <v>12463.343923</v>
      </c>
      <c r="M174" s="17">
        <f t="shared" si="21"/>
        <v>0</v>
      </c>
      <c r="N174" s="23">
        <f t="shared" si="16"/>
        <v>807.55639394000002</v>
      </c>
      <c r="O174" s="18">
        <f t="shared" si="22"/>
        <v>80755.639393999998</v>
      </c>
    </row>
    <row r="175" spans="2:15" ht="25.5">
      <c r="B175" s="12">
        <v>172</v>
      </c>
      <c r="C175" s="13" t="s">
        <v>437</v>
      </c>
      <c r="D175" s="14" t="s">
        <v>438</v>
      </c>
      <c r="E175" s="14" t="s">
        <v>423</v>
      </c>
      <c r="F175" s="15">
        <v>1</v>
      </c>
      <c r="G175" s="16">
        <v>1</v>
      </c>
      <c r="H175" s="17">
        <f>F175 * G175 * 14285.6128</f>
        <v>14285.612800000001</v>
      </c>
      <c r="I175" s="17">
        <f>F175 * G175 * 45632.941074</f>
        <v>45632.941074000002</v>
      </c>
      <c r="J175" s="17">
        <f t="shared" si="24"/>
        <v>0</v>
      </c>
      <c r="K175" s="17">
        <f>F175 * G175 * 14314.1840259999</f>
        <v>14314.184025999901</v>
      </c>
      <c r="L175" s="17">
        <f>F175 * G175 * 13547.474666</f>
        <v>13547.474666</v>
      </c>
      <c r="M175" s="17">
        <f t="shared" si="21"/>
        <v>0</v>
      </c>
      <c r="N175" s="23">
        <f t="shared" ref="N175:N238" si="26">O175/G175/F175/100</f>
        <v>877.80212565999898</v>
      </c>
      <c r="O175" s="18">
        <f t="shared" si="22"/>
        <v>87780.2125659999</v>
      </c>
    </row>
    <row r="176" spans="2:15" ht="25.5">
      <c r="B176" s="12">
        <v>173</v>
      </c>
      <c r="C176" s="13" t="s">
        <v>439</v>
      </c>
      <c r="D176" s="14" t="s">
        <v>440</v>
      </c>
      <c r="E176" s="14" t="s">
        <v>441</v>
      </c>
      <c r="F176" s="15">
        <v>1</v>
      </c>
      <c r="G176" s="16">
        <v>1</v>
      </c>
      <c r="H176" s="17">
        <f>F176 * G176 * 114.526048</f>
        <v>114.526048</v>
      </c>
      <c r="I176" s="17">
        <f>F176 * G176 * 4848.43632</f>
        <v>4848.4363199999998</v>
      </c>
      <c r="J176" s="17">
        <f t="shared" si="24"/>
        <v>0</v>
      </c>
      <c r="K176" s="17">
        <f>F176 * G176 * 114.7551</f>
        <v>114.7551</v>
      </c>
      <c r="L176" s="17">
        <f>F176 * G176 * 926.683438</f>
        <v>926.68343800000002</v>
      </c>
      <c r="M176" s="17">
        <f t="shared" si="21"/>
        <v>0</v>
      </c>
      <c r="N176" s="23">
        <f t="shared" ref="N176:N181" si="27">O176/G176/F176</f>
        <v>6004.4009059999998</v>
      </c>
      <c r="O176" s="18">
        <f t="shared" si="22"/>
        <v>6004.4009059999998</v>
      </c>
    </row>
    <row r="177" spans="2:15" ht="25.5">
      <c r="B177" s="12">
        <v>174</v>
      </c>
      <c r="C177" s="13" t="s">
        <v>442</v>
      </c>
      <c r="D177" s="14" t="s">
        <v>443</v>
      </c>
      <c r="E177" s="14" t="s">
        <v>441</v>
      </c>
      <c r="F177" s="15">
        <v>1</v>
      </c>
      <c r="G177" s="16">
        <v>1</v>
      </c>
      <c r="H177" s="17">
        <f>F177 * G177 * 114.526048</f>
        <v>114.526048</v>
      </c>
      <c r="I177" s="17">
        <f>F177 * G177 * 11157.9144</f>
        <v>11157.9144</v>
      </c>
      <c r="J177" s="17">
        <f t="shared" si="24"/>
        <v>0</v>
      </c>
      <c r="K177" s="17">
        <f>F177 * G177 * 114.7551</f>
        <v>114.7551</v>
      </c>
      <c r="L177" s="17">
        <f>F177 * G177 * 2078.163187</f>
        <v>2078.1631870000001</v>
      </c>
      <c r="M177" s="17">
        <f t="shared" si="21"/>
        <v>0</v>
      </c>
      <c r="N177" s="23">
        <f t="shared" si="27"/>
        <v>13465.358735</v>
      </c>
      <c r="O177" s="18">
        <f t="shared" si="22"/>
        <v>13465.358735</v>
      </c>
    </row>
    <row r="178" spans="2:15" ht="25.5">
      <c r="B178" s="12">
        <v>175</v>
      </c>
      <c r="C178" s="13" t="s">
        <v>444</v>
      </c>
      <c r="D178" s="14" t="s">
        <v>445</v>
      </c>
      <c r="E178" s="14" t="s">
        <v>441</v>
      </c>
      <c r="F178" s="15">
        <v>1</v>
      </c>
      <c r="G178" s="16">
        <v>1</v>
      </c>
      <c r="H178" s="17">
        <f>F178 * G178 * 114.526048</f>
        <v>114.526048</v>
      </c>
      <c r="I178" s="17">
        <f>F178 * G178 * 13150.90296</f>
        <v>13150.902959999999</v>
      </c>
      <c r="J178" s="17">
        <f t="shared" si="24"/>
        <v>0</v>
      </c>
      <c r="K178" s="17">
        <f>F178 * G178 * 114.7551</f>
        <v>114.7551</v>
      </c>
      <c r="L178" s="17">
        <f>F178 * G178 * 2441.8836</f>
        <v>2441.8836000000001</v>
      </c>
      <c r="M178" s="17">
        <f t="shared" si="21"/>
        <v>0</v>
      </c>
      <c r="N178" s="23">
        <f t="shared" si="27"/>
        <v>15822.067707999999</v>
      </c>
      <c r="O178" s="18">
        <f t="shared" si="22"/>
        <v>15822.067707999999</v>
      </c>
    </row>
    <row r="179" spans="2:15" ht="25.5">
      <c r="B179" s="12">
        <v>176</v>
      </c>
      <c r="C179" s="13" t="s">
        <v>446</v>
      </c>
      <c r="D179" s="14" t="s">
        <v>447</v>
      </c>
      <c r="E179" s="14" t="s">
        <v>441</v>
      </c>
      <c r="F179" s="15">
        <v>1</v>
      </c>
      <c r="G179" s="16">
        <v>1</v>
      </c>
      <c r="H179" s="17">
        <f>F179 * G179 * 114.526048</f>
        <v>114.526048</v>
      </c>
      <c r="I179" s="17">
        <f>F179 * G179 * 14158.43856</f>
        <v>14158.438560000001</v>
      </c>
      <c r="J179" s="17">
        <f t="shared" si="24"/>
        <v>0</v>
      </c>
      <c r="K179" s="17">
        <f>F179 * G179 * 114.7551</f>
        <v>114.7551</v>
      </c>
      <c r="L179" s="17">
        <f>F179 * G179 * 2625.758847</f>
        <v>2625.7588470000001</v>
      </c>
      <c r="M179" s="17">
        <f t="shared" si="21"/>
        <v>0</v>
      </c>
      <c r="N179" s="23">
        <f t="shared" si="27"/>
        <v>17013.478555000002</v>
      </c>
      <c r="O179" s="18">
        <f t="shared" si="22"/>
        <v>17013.478555000002</v>
      </c>
    </row>
    <row r="180" spans="2:15" ht="25.5">
      <c r="B180" s="12">
        <v>177</v>
      </c>
      <c r="C180" s="13" t="s">
        <v>448</v>
      </c>
      <c r="D180" s="14" t="s">
        <v>449</v>
      </c>
      <c r="E180" s="14" t="s">
        <v>441</v>
      </c>
      <c r="F180" s="15">
        <v>1</v>
      </c>
      <c r="G180" s="16">
        <v>1</v>
      </c>
      <c r="H180" s="17">
        <f>F180 * G180 * 2560.5256</f>
        <v>2560.5255999999999</v>
      </c>
      <c r="I180" s="17">
        <f>F180 * G180 * 96030.67476</f>
        <v>96030.674759999994</v>
      </c>
      <c r="J180" s="17">
        <f t="shared" si="24"/>
        <v>0</v>
      </c>
      <c r="K180" s="17">
        <f>F180 * G180 * 2565.646651</f>
        <v>2565.646651</v>
      </c>
      <c r="L180" s="17">
        <f>F180 * G180 * 18461.12458</f>
        <v>18461.12458</v>
      </c>
      <c r="M180" s="17">
        <f t="shared" si="21"/>
        <v>0</v>
      </c>
      <c r="N180" s="23">
        <f t="shared" si="27"/>
        <v>119617.97159099999</v>
      </c>
      <c r="O180" s="18">
        <f t="shared" si="22"/>
        <v>119617.97159099999</v>
      </c>
    </row>
    <row r="181" spans="2:15" ht="25.5">
      <c r="B181" s="12">
        <v>178</v>
      </c>
      <c r="C181" s="13" t="s">
        <v>450</v>
      </c>
      <c r="D181" s="14" t="s">
        <v>451</v>
      </c>
      <c r="E181" s="14" t="s">
        <v>441</v>
      </c>
      <c r="F181" s="15">
        <v>1</v>
      </c>
      <c r="G181" s="16">
        <v>1</v>
      </c>
      <c r="H181" s="17">
        <f>F181 * G181 * 3505.468944</f>
        <v>3505.4689440000002</v>
      </c>
      <c r="I181" s="17">
        <f>F181 * G181 * 116634.67476</f>
        <v>116634.67475999999</v>
      </c>
      <c r="J181" s="17">
        <f t="shared" ref="J181:J212" si="28">F181 * G181 * 0</f>
        <v>0</v>
      </c>
      <c r="K181" s="17">
        <f>F181 * G181 * 3512.479882</f>
        <v>3512.4798820000001</v>
      </c>
      <c r="L181" s="17">
        <f>F181 * G181 * 22566.603804</f>
        <v>22566.603803999998</v>
      </c>
      <c r="M181" s="17">
        <f t="shared" si="21"/>
        <v>0</v>
      </c>
      <c r="N181" s="23">
        <f t="shared" si="27"/>
        <v>146219.22738999999</v>
      </c>
      <c r="O181" s="18">
        <f t="shared" si="22"/>
        <v>146219.22738999999</v>
      </c>
    </row>
    <row r="182" spans="2:15" ht="38.25">
      <c r="B182" s="12">
        <v>179</v>
      </c>
      <c r="C182" s="13" t="s">
        <v>452</v>
      </c>
      <c r="D182" s="14" t="s">
        <v>453</v>
      </c>
      <c r="E182" s="14" t="s">
        <v>454</v>
      </c>
      <c r="F182" s="15">
        <v>1</v>
      </c>
      <c r="G182" s="16">
        <v>1</v>
      </c>
      <c r="H182" s="17">
        <f>F182 * G182 * 7952.68877</f>
        <v>7952.6887699999997</v>
      </c>
      <c r="I182" s="17">
        <f>F182 * G182 * 17517.004147</f>
        <v>17517.004147</v>
      </c>
      <c r="J182" s="17">
        <f t="shared" si="28"/>
        <v>0</v>
      </c>
      <c r="K182" s="17">
        <f>F182 * G182 * 7968.594148</f>
        <v>7968.5941480000001</v>
      </c>
      <c r="L182" s="17">
        <f>F182 * G182 * 6102.487389</f>
        <v>6102.4873889999999</v>
      </c>
      <c r="M182" s="17">
        <f t="shared" si="21"/>
        <v>0</v>
      </c>
      <c r="N182" s="23">
        <f t="shared" si="26"/>
        <v>395.40774454000001</v>
      </c>
      <c r="O182" s="18">
        <f t="shared" si="22"/>
        <v>39540.774453999999</v>
      </c>
    </row>
    <row r="183" spans="2:15" ht="38.25">
      <c r="B183" s="12">
        <v>180</v>
      </c>
      <c r="C183" s="13" t="s">
        <v>455</v>
      </c>
      <c r="D183" s="14" t="s">
        <v>456</v>
      </c>
      <c r="E183" s="14" t="s">
        <v>454</v>
      </c>
      <c r="F183" s="15">
        <v>1</v>
      </c>
      <c r="G183" s="16">
        <v>1</v>
      </c>
      <c r="H183" s="17">
        <f>F183 * G183 * 8780.667935</f>
        <v>8780.6679349999995</v>
      </c>
      <c r="I183" s="17">
        <f>F183 * G183 * 22450.910707</f>
        <v>22450.910706999999</v>
      </c>
      <c r="J183" s="17">
        <f t="shared" si="28"/>
        <v>0</v>
      </c>
      <c r="K183" s="17">
        <f>F183 * G183 * 8798.229271</f>
        <v>8798.2292710000002</v>
      </c>
      <c r="L183" s="17">
        <f>F183 * G183 * 7305.439944</f>
        <v>7305.4399439999997</v>
      </c>
      <c r="M183" s="17">
        <f t="shared" si="21"/>
        <v>0</v>
      </c>
      <c r="N183" s="23">
        <f t="shared" si="26"/>
        <v>473.35247856999996</v>
      </c>
      <c r="O183" s="18">
        <f t="shared" si="22"/>
        <v>47335.247856999995</v>
      </c>
    </row>
    <row r="184" spans="2:15" ht="38.25">
      <c r="B184" s="12">
        <v>181</v>
      </c>
      <c r="C184" s="13" t="s">
        <v>457</v>
      </c>
      <c r="D184" s="14" t="s">
        <v>458</v>
      </c>
      <c r="E184" s="14" t="s">
        <v>454</v>
      </c>
      <c r="F184" s="15">
        <v>1</v>
      </c>
      <c r="G184" s="16">
        <v>1</v>
      </c>
      <c r="H184" s="17">
        <f>F184 * G184 * 9693.48941</f>
        <v>9693.4894100000001</v>
      </c>
      <c r="I184" s="17">
        <f>F184 * G184 * 30606.882907</f>
        <v>30606.882906999999</v>
      </c>
      <c r="J184" s="17">
        <f t="shared" si="28"/>
        <v>0</v>
      </c>
      <c r="K184" s="17">
        <f>F184 * G184 * 9712.876389</f>
        <v>9712.8763889999991</v>
      </c>
      <c r="L184" s="17">
        <f>F184 * G184 * 9127.417889</f>
        <v>9127.4178890000003</v>
      </c>
      <c r="M184" s="17">
        <f t="shared" si="21"/>
        <v>0</v>
      </c>
      <c r="N184" s="23">
        <f t="shared" si="26"/>
        <v>591.40666595000005</v>
      </c>
      <c r="O184" s="18">
        <f t="shared" si="22"/>
        <v>59140.666595000002</v>
      </c>
    </row>
    <row r="185" spans="2:15" ht="38.25">
      <c r="B185" s="12">
        <v>182</v>
      </c>
      <c r="C185" s="13" t="s">
        <v>459</v>
      </c>
      <c r="D185" s="14" t="s">
        <v>460</v>
      </c>
      <c r="E185" s="14" t="s">
        <v>454</v>
      </c>
      <c r="F185" s="15">
        <v>1</v>
      </c>
      <c r="G185" s="16">
        <v>1</v>
      </c>
      <c r="H185" s="17">
        <f>F185 * G185 * 11806.369575</f>
        <v>11806.369575000001</v>
      </c>
      <c r="I185" s="17">
        <f>F185 * G185 * 43767.927225</f>
        <v>43767.927224999999</v>
      </c>
      <c r="J185" s="17">
        <f t="shared" si="28"/>
        <v>0</v>
      </c>
      <c r="K185" s="17">
        <f>F185 * G185 * 11829.982315</f>
        <v>11829.982314999999</v>
      </c>
      <c r="L185" s="17">
        <f>F185 * G185 * 12301.280939</f>
        <v>12301.280939</v>
      </c>
      <c r="M185" s="17">
        <f t="shared" si="21"/>
        <v>0</v>
      </c>
      <c r="N185" s="23">
        <f t="shared" si="26"/>
        <v>797.05560054</v>
      </c>
      <c r="O185" s="18">
        <f t="shared" si="22"/>
        <v>79705.560054000001</v>
      </c>
    </row>
    <row r="186" spans="2:15" ht="38.25">
      <c r="B186" s="12">
        <v>183</v>
      </c>
      <c r="C186" s="13" t="s">
        <v>461</v>
      </c>
      <c r="D186" s="14" t="s">
        <v>462</v>
      </c>
      <c r="E186" s="14" t="s">
        <v>454</v>
      </c>
      <c r="F186" s="15">
        <v>1</v>
      </c>
      <c r="G186" s="16">
        <v>1</v>
      </c>
      <c r="H186" s="17">
        <f>F186 * G186 * 12409.46551</f>
        <v>12409.46551</v>
      </c>
      <c r="I186" s="17">
        <f>F186 * G186 * 53738.104285</f>
        <v>53738.104285000001</v>
      </c>
      <c r="J186" s="17">
        <f t="shared" si="28"/>
        <v>0</v>
      </c>
      <c r="K186" s="17">
        <f>F186 * G186 * 12434.284441</f>
        <v>12434.284441</v>
      </c>
      <c r="L186" s="17">
        <f>F186 * G186 * 14341.188398</f>
        <v>14341.188398</v>
      </c>
      <c r="M186" s="17">
        <f t="shared" si="21"/>
        <v>0</v>
      </c>
      <c r="N186" s="23">
        <f t="shared" si="26"/>
        <v>929.23042634000001</v>
      </c>
      <c r="O186" s="18">
        <f t="shared" si="22"/>
        <v>92923.042633999998</v>
      </c>
    </row>
    <row r="187" spans="2:15" ht="38.25">
      <c r="B187" s="12">
        <v>184</v>
      </c>
      <c r="C187" s="13" t="s">
        <v>463</v>
      </c>
      <c r="D187" s="14" t="s">
        <v>464</v>
      </c>
      <c r="E187" s="14" t="s">
        <v>454</v>
      </c>
      <c r="F187" s="15">
        <v>1</v>
      </c>
      <c r="G187" s="16">
        <v>1</v>
      </c>
      <c r="H187" s="17">
        <f>F187 * G187 * 13789.430785</f>
        <v>13789.430785</v>
      </c>
      <c r="I187" s="17">
        <f>F187 * G187 * 59054.156386</f>
        <v>59054.156386000002</v>
      </c>
      <c r="J187" s="17">
        <f t="shared" si="28"/>
        <v>0</v>
      </c>
      <c r="K187" s="17">
        <f>F187 * G187 * 13817.0096469999</f>
        <v>13817.009646999901</v>
      </c>
      <c r="L187" s="17">
        <f>F187 * G187 * 15815.558919</f>
        <v>15815.558918999999</v>
      </c>
      <c r="M187" s="17">
        <f t="shared" si="21"/>
        <v>0</v>
      </c>
      <c r="N187" s="23">
        <f t="shared" si="26"/>
        <v>1024.7615573699991</v>
      </c>
      <c r="O187" s="18">
        <f t="shared" si="22"/>
        <v>102476.15573699991</v>
      </c>
    </row>
    <row r="188" spans="2:15" ht="38.25">
      <c r="B188" s="12">
        <v>185</v>
      </c>
      <c r="C188" s="13" t="s">
        <v>465</v>
      </c>
      <c r="D188" s="14" t="s">
        <v>466</v>
      </c>
      <c r="E188" s="14" t="s">
        <v>454</v>
      </c>
      <c r="F188" s="15">
        <v>1</v>
      </c>
      <c r="G188" s="16">
        <v>1</v>
      </c>
      <c r="H188" s="17">
        <f>F188 * G188 * 16201.814525</f>
        <v>16201.814525</v>
      </c>
      <c r="I188" s="17">
        <f>F188 * G188 * 84462.902206</f>
        <v>84462.902205999999</v>
      </c>
      <c r="J188" s="17">
        <f t="shared" si="28"/>
        <v>0</v>
      </c>
      <c r="K188" s="17">
        <f>F188 * G188 * 16234.2181549999</f>
        <v>16234.2181549999</v>
      </c>
      <c r="L188" s="17">
        <f>F188 * G188 * 21334.0556159999</f>
        <v>21334.0556159999</v>
      </c>
      <c r="M188" s="17">
        <f t="shared" si="21"/>
        <v>0</v>
      </c>
      <c r="N188" s="23">
        <f t="shared" si="26"/>
        <v>1382.329905019998</v>
      </c>
      <c r="O188" s="18">
        <f t="shared" si="22"/>
        <v>138232.9905019998</v>
      </c>
    </row>
    <row r="189" spans="2:15" ht="38.25">
      <c r="B189" s="12">
        <v>186</v>
      </c>
      <c r="C189" s="13" t="s">
        <v>467</v>
      </c>
      <c r="D189" s="14" t="s">
        <v>468</v>
      </c>
      <c r="E189" s="14" t="s">
        <v>454</v>
      </c>
      <c r="F189" s="15">
        <v>1</v>
      </c>
      <c r="G189" s="16">
        <v>1</v>
      </c>
      <c r="H189" s="17">
        <f>F189 * G189 * 17867.99482</f>
        <v>17867.99482</v>
      </c>
      <c r="I189" s="17">
        <f>F189 * G189 * 94083.819801</f>
        <v>94083.819801000005</v>
      </c>
      <c r="J189" s="17">
        <f t="shared" si="28"/>
        <v>0</v>
      </c>
      <c r="K189" s="17">
        <f>F189 * G189 * 17903.73081</f>
        <v>17903.730810000001</v>
      </c>
      <c r="L189" s="17">
        <f>F189 * G189 * 23698.637041</f>
        <v>23698.637041000002</v>
      </c>
      <c r="M189" s="17">
        <f t="shared" si="21"/>
        <v>0</v>
      </c>
      <c r="N189" s="23">
        <f t="shared" si="26"/>
        <v>1535.5418247200002</v>
      </c>
      <c r="O189" s="18">
        <f t="shared" si="22"/>
        <v>153554.18247200001</v>
      </c>
    </row>
    <row r="190" spans="2:15" ht="38.25">
      <c r="B190" s="12">
        <v>187</v>
      </c>
      <c r="C190" s="13" t="s">
        <v>469</v>
      </c>
      <c r="D190" s="14" t="s">
        <v>470</v>
      </c>
      <c r="E190" s="14" t="s">
        <v>454</v>
      </c>
      <c r="F190" s="15">
        <v>1</v>
      </c>
      <c r="G190" s="16">
        <v>1</v>
      </c>
      <c r="H190" s="17">
        <f>F190 * G190 * 12409.46551</f>
        <v>12409.46551</v>
      </c>
      <c r="I190" s="17">
        <f>F190 * G190 * 47049.32008</f>
        <v>47049.320079999998</v>
      </c>
      <c r="J190" s="17">
        <f t="shared" si="28"/>
        <v>0</v>
      </c>
      <c r="K190" s="17">
        <f>F190 * G190 * 12434.284441</f>
        <v>12434.284441</v>
      </c>
      <c r="L190" s="17">
        <f>F190 * G190 * 13120.48528</f>
        <v>13120.485280000001</v>
      </c>
      <c r="M190" s="17">
        <f t="shared" si="21"/>
        <v>0</v>
      </c>
      <c r="N190" s="23">
        <f t="shared" si="26"/>
        <v>850.13555311000005</v>
      </c>
      <c r="O190" s="18">
        <f t="shared" si="22"/>
        <v>85013.555311000004</v>
      </c>
    </row>
    <row r="191" spans="2:15" ht="38.25">
      <c r="B191" s="12">
        <v>188</v>
      </c>
      <c r="C191" s="13" t="s">
        <v>471</v>
      </c>
      <c r="D191" s="14" t="s">
        <v>464</v>
      </c>
      <c r="E191" s="14" t="s">
        <v>454</v>
      </c>
      <c r="F191" s="15">
        <v>1</v>
      </c>
      <c r="G191" s="16">
        <v>1</v>
      </c>
      <c r="H191" s="17">
        <f>F191 * G191 * 13789.430785</f>
        <v>13789.430785</v>
      </c>
      <c r="I191" s="17">
        <f>F191 * G191 * 56469.053463</f>
        <v>56469.053462999997</v>
      </c>
      <c r="J191" s="17">
        <f t="shared" si="28"/>
        <v>0</v>
      </c>
      <c r="K191" s="17">
        <f>F191 * G191 * 13817.0096469999</f>
        <v>13817.009646999901</v>
      </c>
      <c r="L191" s="17">
        <f>F191 * G191 * 15343.777636</f>
        <v>15343.777636000001</v>
      </c>
      <c r="M191" s="17">
        <f t="shared" si="21"/>
        <v>0</v>
      </c>
      <c r="N191" s="23">
        <f t="shared" si="26"/>
        <v>994.1927153099989</v>
      </c>
      <c r="O191" s="18">
        <f t="shared" si="22"/>
        <v>99419.271530999889</v>
      </c>
    </row>
    <row r="192" spans="2:15" ht="38.25">
      <c r="B192" s="12">
        <v>189</v>
      </c>
      <c r="C192" s="13" t="s">
        <v>472</v>
      </c>
      <c r="D192" s="14" t="s">
        <v>466</v>
      </c>
      <c r="E192" s="14" t="s">
        <v>454</v>
      </c>
      <c r="F192" s="15">
        <v>1</v>
      </c>
      <c r="G192" s="16">
        <v>1</v>
      </c>
      <c r="H192" s="17">
        <f>F192 * G192 * 16201.814525</f>
        <v>16201.814525</v>
      </c>
      <c r="I192" s="17">
        <f>F192 * G192 * 80983.786996</f>
        <v>80983.786995999995</v>
      </c>
      <c r="J192" s="17">
        <f t="shared" si="28"/>
        <v>0</v>
      </c>
      <c r="K192" s="17">
        <f>F192 * G192 * 16234.2181549999</f>
        <v>16234.2181549999</v>
      </c>
      <c r="L192" s="17">
        <f>F192 * G192 * 20699.117091</f>
        <v>20699.117091</v>
      </c>
      <c r="M192" s="17">
        <f t="shared" si="21"/>
        <v>0</v>
      </c>
      <c r="N192" s="23">
        <f t="shared" si="26"/>
        <v>1341.189367669999</v>
      </c>
      <c r="O192" s="18">
        <f t="shared" si="22"/>
        <v>134118.93676699989</v>
      </c>
    </row>
    <row r="193" spans="2:15" ht="38.25">
      <c r="B193" s="12">
        <v>190</v>
      </c>
      <c r="C193" s="13" t="s">
        <v>473</v>
      </c>
      <c r="D193" s="14" t="s">
        <v>474</v>
      </c>
      <c r="E193" s="14" t="s">
        <v>454</v>
      </c>
      <c r="F193" s="15">
        <v>1</v>
      </c>
      <c r="G193" s="16">
        <v>1</v>
      </c>
      <c r="H193" s="17">
        <f>F193 * G193 * 17867.99482</f>
        <v>17867.99482</v>
      </c>
      <c r="I193" s="17">
        <f>F193 * G193 * 89853.845685</f>
        <v>89853.845684999993</v>
      </c>
      <c r="J193" s="17">
        <f t="shared" si="28"/>
        <v>0</v>
      </c>
      <c r="K193" s="17">
        <f>F193 * G193 * 17903.73081</f>
        <v>17903.730810000001</v>
      </c>
      <c r="L193" s="17">
        <f>F193 * G193 * 22926.666765</f>
        <v>22926.666765000002</v>
      </c>
      <c r="M193" s="17">
        <f t="shared" si="21"/>
        <v>0</v>
      </c>
      <c r="N193" s="23">
        <f t="shared" si="26"/>
        <v>1485.5223808000001</v>
      </c>
      <c r="O193" s="18">
        <f t="shared" si="22"/>
        <v>148552.23808000001</v>
      </c>
    </row>
    <row r="194" spans="2:15" ht="38.25">
      <c r="B194" s="12">
        <v>191</v>
      </c>
      <c r="C194" s="13" t="s">
        <v>475</v>
      </c>
      <c r="D194" s="14" t="s">
        <v>476</v>
      </c>
      <c r="E194" s="14" t="s">
        <v>454</v>
      </c>
      <c r="F194" s="15">
        <v>1</v>
      </c>
      <c r="G194" s="16">
        <v>1</v>
      </c>
      <c r="H194" s="17">
        <f>F194 * G194 * 12901.90525</f>
        <v>12901.90525</v>
      </c>
      <c r="I194" s="17">
        <f>F194 * G194 * 41400.619328</f>
        <v>41400.619328000001</v>
      </c>
      <c r="J194" s="17">
        <f t="shared" si="28"/>
        <v>0</v>
      </c>
      <c r="K194" s="17">
        <f>F194 * G194 * 12927.70906</f>
        <v>12927.709059999999</v>
      </c>
      <c r="L194" s="17">
        <f>F194 * G194 * 12269.517639</f>
        <v>12269.517639</v>
      </c>
      <c r="M194" s="17">
        <f t="shared" si="21"/>
        <v>0</v>
      </c>
      <c r="N194" s="23">
        <f t="shared" si="26"/>
        <v>794.99751276999984</v>
      </c>
      <c r="O194" s="18">
        <f t="shared" si="22"/>
        <v>79499.751276999988</v>
      </c>
    </row>
    <row r="195" spans="2:15" ht="38.25">
      <c r="B195" s="12">
        <v>192</v>
      </c>
      <c r="C195" s="13" t="s">
        <v>477</v>
      </c>
      <c r="D195" s="14" t="s">
        <v>478</v>
      </c>
      <c r="E195" s="14" t="s">
        <v>454</v>
      </c>
      <c r="F195" s="15">
        <v>1</v>
      </c>
      <c r="G195" s="16">
        <v>1</v>
      </c>
      <c r="H195" s="17">
        <f>F195 * G195 * 13894.3595</f>
        <v>13894.3595</v>
      </c>
      <c r="I195" s="17">
        <f>F195 * G195 * 55428.806672</f>
        <v>55428.806671999999</v>
      </c>
      <c r="J195" s="17">
        <f t="shared" si="28"/>
        <v>0</v>
      </c>
      <c r="K195" s="17">
        <f>F195 * G195 * 13922.1482189999</f>
        <v>13922.148218999901</v>
      </c>
      <c r="L195" s="17">
        <f>F195 * G195 * 15192.2698759999</f>
        <v>15192.2698759999</v>
      </c>
      <c r="M195" s="17">
        <f t="shared" si="21"/>
        <v>0</v>
      </c>
      <c r="N195" s="23">
        <f t="shared" si="26"/>
        <v>984.37584266999806</v>
      </c>
      <c r="O195" s="18">
        <f t="shared" si="22"/>
        <v>98437.584266999809</v>
      </c>
    </row>
    <row r="196" spans="2:15" ht="25.5">
      <c r="B196" s="12">
        <v>193</v>
      </c>
      <c r="C196" s="13" t="s">
        <v>479</v>
      </c>
      <c r="D196" s="14" t="s">
        <v>480</v>
      </c>
      <c r="E196" s="14" t="s">
        <v>454</v>
      </c>
      <c r="F196" s="15">
        <v>1</v>
      </c>
      <c r="G196" s="16">
        <v>1</v>
      </c>
      <c r="H196" s="17">
        <f>F196 * G196 * 20570.400749</f>
        <v>20570.400749</v>
      </c>
      <c r="I196" s="17">
        <f>F196 * G196 * 71913.132174</f>
        <v>71913.132173999998</v>
      </c>
      <c r="J196" s="17">
        <f t="shared" si="28"/>
        <v>0</v>
      </c>
      <c r="K196" s="17">
        <f>F196 * G196 * 20611.54155</f>
        <v>20611.541550000002</v>
      </c>
      <c r="L196" s="17">
        <f>F196 * G196 * 20639.8510919999</f>
        <v>20639.851091999899</v>
      </c>
      <c r="M196" s="17">
        <f t="shared" ref="M196:M259" si="29">F196 * G196 * 0</f>
        <v>0</v>
      </c>
      <c r="N196" s="23">
        <f t="shared" si="26"/>
        <v>1337.3492556499989</v>
      </c>
      <c r="O196" s="18">
        <f t="shared" ref="O196:O259" si="30">SUM(H196:M196)</f>
        <v>133734.9255649999</v>
      </c>
    </row>
    <row r="197" spans="2:15" ht="38.25">
      <c r="B197" s="12">
        <v>194</v>
      </c>
      <c r="C197" s="13" t="s">
        <v>481</v>
      </c>
      <c r="D197" s="14" t="s">
        <v>482</v>
      </c>
      <c r="E197" s="14" t="s">
        <v>454</v>
      </c>
      <c r="F197" s="15">
        <v>1</v>
      </c>
      <c r="G197" s="16">
        <v>1</v>
      </c>
      <c r="H197" s="17">
        <f>F197 * G197 * 23543.793682</f>
        <v>23543.793682</v>
      </c>
      <c r="I197" s="17">
        <f>F197 * G197 * 81434.991313</f>
        <v>81434.991313000006</v>
      </c>
      <c r="J197" s="17">
        <f t="shared" si="28"/>
        <v>0</v>
      </c>
      <c r="K197" s="17">
        <f>F197 * G197 * 23590.881269</f>
        <v>23590.881269000001</v>
      </c>
      <c r="L197" s="17">
        <f>F197 * G197 * 23463.964093</f>
        <v>23463.964092999999</v>
      </c>
      <c r="M197" s="17">
        <f t="shared" si="29"/>
        <v>0</v>
      </c>
      <c r="N197" s="23">
        <f t="shared" si="26"/>
        <v>1520.3363035700002</v>
      </c>
      <c r="O197" s="18">
        <f t="shared" si="30"/>
        <v>152033.63035700002</v>
      </c>
    </row>
    <row r="198" spans="2:15" ht="25.5">
      <c r="B198" s="12">
        <v>195</v>
      </c>
      <c r="C198" s="13" t="s">
        <v>483</v>
      </c>
      <c r="D198" s="14" t="s">
        <v>484</v>
      </c>
      <c r="E198" s="14" t="s">
        <v>454</v>
      </c>
      <c r="F198" s="15">
        <v>1</v>
      </c>
      <c r="G198" s="16">
        <v>1</v>
      </c>
      <c r="H198" s="17">
        <f>F198 * G198 * 16350.330275</f>
        <v>16350.330275</v>
      </c>
      <c r="I198" s="17">
        <f>F198 * G198 * 47129.645837</f>
        <v>47129.645836999996</v>
      </c>
      <c r="J198" s="17">
        <f t="shared" si="28"/>
        <v>0</v>
      </c>
      <c r="K198" s="17">
        <f>F198 * G198 * 16383.030936</f>
        <v>16383.030935999999</v>
      </c>
      <c r="L198" s="17">
        <f>F198 * G198 * 14574.998787</f>
        <v>14574.998787</v>
      </c>
      <c r="M198" s="17">
        <f t="shared" si="29"/>
        <v>0</v>
      </c>
      <c r="N198" s="23">
        <f t="shared" si="26"/>
        <v>944.38005835000001</v>
      </c>
      <c r="O198" s="18">
        <f t="shared" si="30"/>
        <v>94438.005835000004</v>
      </c>
    </row>
    <row r="199" spans="2:15" ht="25.5">
      <c r="B199" s="12">
        <v>196</v>
      </c>
      <c r="C199" s="13" t="s">
        <v>485</v>
      </c>
      <c r="D199" s="14" t="s">
        <v>486</v>
      </c>
      <c r="E199" s="14" t="s">
        <v>454</v>
      </c>
      <c r="F199" s="15">
        <v>1</v>
      </c>
      <c r="G199" s="16">
        <v>1</v>
      </c>
      <c r="H199" s="17">
        <f>F199 * G199 * 16383.81218</f>
        <v>16383.812180000001</v>
      </c>
      <c r="I199" s="17">
        <f>F199 * G199 * 66672.939797</f>
        <v>66672.939796999999</v>
      </c>
      <c r="J199" s="17">
        <f t="shared" si="28"/>
        <v>0</v>
      </c>
      <c r="K199" s="17">
        <f>F199 * G199 * 16416.579804</f>
        <v>16416.579804000001</v>
      </c>
      <c r="L199" s="17">
        <f>F199 * G199 * 18153.88305</f>
        <v>18153.88305</v>
      </c>
      <c r="M199" s="17">
        <f t="shared" si="29"/>
        <v>0</v>
      </c>
      <c r="N199" s="23">
        <f t="shared" si="26"/>
        <v>1176.2721483100001</v>
      </c>
      <c r="O199" s="18">
        <f t="shared" si="30"/>
        <v>117627.21483100002</v>
      </c>
    </row>
    <row r="200" spans="2:15" ht="38.25">
      <c r="B200" s="12">
        <v>197</v>
      </c>
      <c r="C200" s="13" t="s">
        <v>487</v>
      </c>
      <c r="D200" s="14" t="s">
        <v>488</v>
      </c>
      <c r="E200" s="14" t="s">
        <v>329</v>
      </c>
      <c r="F200" s="15">
        <v>1</v>
      </c>
      <c r="G200" s="16">
        <v>1</v>
      </c>
      <c r="H200" s="17">
        <f>F200 * G200 * 7233.9699</f>
        <v>7233.9699000000001</v>
      </c>
      <c r="I200" s="17">
        <f>F200 * G200 * 38976.003901</f>
        <v>38976.003900999996</v>
      </c>
      <c r="J200" s="17">
        <f t="shared" si="28"/>
        <v>0</v>
      </c>
      <c r="K200" s="17">
        <f>F200 * G200 * 7248.43784</f>
        <v>7248.4378399999996</v>
      </c>
      <c r="L200" s="17">
        <f>F200 * G200 * 9756.160124</f>
        <v>9756.160124</v>
      </c>
      <c r="M200" s="17">
        <f t="shared" si="29"/>
        <v>0</v>
      </c>
      <c r="N200" s="23">
        <f t="shared" si="26"/>
        <v>632.14571765000005</v>
      </c>
      <c r="O200" s="18">
        <f t="shared" si="30"/>
        <v>63214.571765000001</v>
      </c>
    </row>
    <row r="201" spans="2:15" ht="38.25">
      <c r="B201" s="12">
        <v>198</v>
      </c>
      <c r="C201" s="13" t="s">
        <v>489</v>
      </c>
      <c r="D201" s="14" t="s">
        <v>490</v>
      </c>
      <c r="E201" s="14" t="s">
        <v>329</v>
      </c>
      <c r="F201" s="15">
        <v>1</v>
      </c>
      <c r="G201" s="16">
        <v>1</v>
      </c>
      <c r="H201" s="17">
        <f>F201 * G201 * 8798.0715</f>
        <v>8798.0715</v>
      </c>
      <c r="I201" s="17">
        <f>F201 * G201 * 38976.003901</f>
        <v>38976.003900999996</v>
      </c>
      <c r="J201" s="17">
        <f t="shared" si="28"/>
        <v>0</v>
      </c>
      <c r="K201" s="17">
        <f>F201 * G201 * 8815.667643</f>
        <v>8815.6676430000007</v>
      </c>
      <c r="L201" s="17">
        <f>F201 * G201 * 10327.628105</f>
        <v>10327.628105</v>
      </c>
      <c r="M201" s="17">
        <f t="shared" si="29"/>
        <v>0</v>
      </c>
      <c r="N201" s="23">
        <f t="shared" si="26"/>
        <v>669.17371148999996</v>
      </c>
      <c r="O201" s="18">
        <f t="shared" si="30"/>
        <v>66917.371148999999</v>
      </c>
    </row>
    <row r="202" spans="2:15">
      <c r="B202" s="12">
        <v>199</v>
      </c>
      <c r="C202" s="13" t="s">
        <v>491</v>
      </c>
      <c r="D202" s="14" t="s">
        <v>492</v>
      </c>
      <c r="E202" s="14" t="s">
        <v>493</v>
      </c>
      <c r="F202" s="15">
        <v>1</v>
      </c>
      <c r="G202" s="16">
        <v>1</v>
      </c>
      <c r="H202" s="17">
        <f>F202 * G202 * 794.99</f>
        <v>794.99</v>
      </c>
      <c r="I202" s="17">
        <f>F202 * G202 * 6418.441526</f>
        <v>6418.4415259999996</v>
      </c>
      <c r="J202" s="17">
        <f t="shared" si="28"/>
        <v>0</v>
      </c>
      <c r="K202" s="17">
        <f>F202 * G202 * 796.57998</f>
        <v>796.57997999999998</v>
      </c>
      <c r="L202" s="17">
        <f>F202 * G202 * 1461.8271</f>
        <v>1461.8271</v>
      </c>
      <c r="M202" s="17">
        <f t="shared" si="29"/>
        <v>0</v>
      </c>
      <c r="N202" s="23">
        <f t="shared" si="26"/>
        <v>94.71838606</v>
      </c>
      <c r="O202" s="18">
        <f t="shared" si="30"/>
        <v>9471.8386059999993</v>
      </c>
    </row>
    <row r="203" spans="2:15">
      <c r="B203" s="12">
        <v>200</v>
      </c>
      <c r="C203" s="13" t="s">
        <v>494</v>
      </c>
      <c r="D203" s="14" t="s">
        <v>495</v>
      </c>
      <c r="E203" s="14" t="s">
        <v>493</v>
      </c>
      <c r="F203" s="15">
        <v>1</v>
      </c>
      <c r="G203" s="16">
        <v>1</v>
      </c>
      <c r="H203" s="17">
        <f>F203 * G203 * 1152.32</f>
        <v>1152.32</v>
      </c>
      <c r="I203" s="17">
        <f>F203 * G203 * 13921.54559</f>
        <v>13921.54559</v>
      </c>
      <c r="J203" s="17">
        <f t="shared" si="28"/>
        <v>0</v>
      </c>
      <c r="K203" s="17">
        <f>F203 * G203 * 1154.62464</f>
        <v>1154.62464</v>
      </c>
      <c r="L203" s="17">
        <f>F203 * G203 * 2961.699467</f>
        <v>2961.6994669999999</v>
      </c>
      <c r="M203" s="17">
        <f t="shared" si="29"/>
        <v>0</v>
      </c>
      <c r="N203" s="23">
        <f t="shared" si="26"/>
        <v>191.90189696999997</v>
      </c>
      <c r="O203" s="18">
        <f t="shared" si="30"/>
        <v>19190.189696999998</v>
      </c>
    </row>
    <row r="204" spans="2:15">
      <c r="B204" s="12">
        <v>201</v>
      </c>
      <c r="C204" s="13" t="s">
        <v>496</v>
      </c>
      <c r="D204" s="14" t="s">
        <v>497</v>
      </c>
      <c r="E204" s="14" t="s">
        <v>493</v>
      </c>
      <c r="F204" s="15">
        <v>1</v>
      </c>
      <c r="G204" s="16">
        <v>1</v>
      </c>
      <c r="H204" s="17">
        <f>F204 * G204 * 1966.7</f>
        <v>1966.7</v>
      </c>
      <c r="I204" s="17">
        <f>F204 * G204 * 25379.150126</f>
        <v>25379.150126</v>
      </c>
      <c r="J204" s="17">
        <f t="shared" si="28"/>
        <v>0</v>
      </c>
      <c r="K204" s="17">
        <f>F204 * G204 * 1970.6334</f>
        <v>1970.6333999999999</v>
      </c>
      <c r="L204" s="17">
        <f>F204 * G204 * 5350.258243</f>
        <v>5350.2582430000002</v>
      </c>
      <c r="M204" s="17">
        <f t="shared" si="29"/>
        <v>0</v>
      </c>
      <c r="N204" s="23">
        <f t="shared" si="26"/>
        <v>346.66741768999998</v>
      </c>
      <c r="O204" s="18">
        <f t="shared" si="30"/>
        <v>34666.741769</v>
      </c>
    </row>
    <row r="205" spans="2:15" ht="38.25">
      <c r="B205" s="12">
        <v>202</v>
      </c>
      <c r="C205" s="13" t="s">
        <v>498</v>
      </c>
      <c r="D205" s="14" t="s">
        <v>499</v>
      </c>
      <c r="E205" s="14" t="s">
        <v>500</v>
      </c>
      <c r="F205" s="15">
        <v>1</v>
      </c>
      <c r="G205" s="16">
        <v>1</v>
      </c>
      <c r="H205" s="17">
        <f>F205 * G205 * 25.416651</f>
        <v>25.416651000000002</v>
      </c>
      <c r="I205" s="17">
        <f>F205 * G205 * 3.985559</f>
        <v>3.9855589999999999</v>
      </c>
      <c r="J205" s="17">
        <f t="shared" si="28"/>
        <v>0</v>
      </c>
      <c r="K205" s="17">
        <f>F205 * G205 * 25.467485</f>
        <v>25.467485</v>
      </c>
      <c r="L205" s="17">
        <f>F205 * G205 * 10.013719</f>
        <v>10.013719</v>
      </c>
      <c r="M205" s="17">
        <f t="shared" si="29"/>
        <v>0</v>
      </c>
      <c r="N205" s="23">
        <f t="shared" ref="N205:N209" si="31">O205/G205/F205</f>
        <v>64.883414000000002</v>
      </c>
      <c r="O205" s="18">
        <f t="shared" si="30"/>
        <v>64.883414000000002</v>
      </c>
    </row>
    <row r="206" spans="2:15" ht="38.25">
      <c r="B206" s="12">
        <v>203</v>
      </c>
      <c r="C206" s="13" t="s">
        <v>501</v>
      </c>
      <c r="D206" s="14" t="s">
        <v>502</v>
      </c>
      <c r="E206" s="14" t="s">
        <v>500</v>
      </c>
      <c r="F206" s="15">
        <v>1</v>
      </c>
      <c r="G206" s="16">
        <v>1</v>
      </c>
      <c r="H206" s="17">
        <f>F206 * G206 * 25.416651</f>
        <v>25.416651000000002</v>
      </c>
      <c r="I206" s="17">
        <f>F206 * G206 * 8.199943</f>
        <v>8.1999429999999993</v>
      </c>
      <c r="J206" s="17">
        <f t="shared" si="28"/>
        <v>0</v>
      </c>
      <c r="K206" s="17">
        <f>F206 * G206 * 25.467485</f>
        <v>25.467485</v>
      </c>
      <c r="L206" s="17">
        <f>F206 * G206 * 10.782844</f>
        <v>10.782844000000001</v>
      </c>
      <c r="M206" s="17">
        <f t="shared" si="29"/>
        <v>0</v>
      </c>
      <c r="N206" s="23">
        <f t="shared" si="31"/>
        <v>69.866923</v>
      </c>
      <c r="O206" s="18">
        <f t="shared" si="30"/>
        <v>69.866923</v>
      </c>
    </row>
    <row r="207" spans="2:15" ht="38.25">
      <c r="B207" s="12">
        <v>204</v>
      </c>
      <c r="C207" s="13" t="s">
        <v>503</v>
      </c>
      <c r="D207" s="14" t="s">
        <v>504</v>
      </c>
      <c r="E207" s="14" t="s">
        <v>500</v>
      </c>
      <c r="F207" s="15">
        <v>1</v>
      </c>
      <c r="G207" s="16">
        <v>1</v>
      </c>
      <c r="H207" s="17">
        <f>F207 * G207 * 25.416651</f>
        <v>25.416651000000002</v>
      </c>
      <c r="I207" s="17">
        <f>F207 * G207 * 12.414328</f>
        <v>12.414327999999999</v>
      </c>
      <c r="J207" s="17">
        <f t="shared" si="28"/>
        <v>0</v>
      </c>
      <c r="K207" s="17">
        <f>F207 * G207 * 25.467485</f>
        <v>25.467485</v>
      </c>
      <c r="L207" s="17">
        <f>F207 * G207 * 11.55197</f>
        <v>11.551970000000001</v>
      </c>
      <c r="M207" s="17">
        <f t="shared" si="29"/>
        <v>0</v>
      </c>
      <c r="N207" s="23">
        <f t="shared" si="31"/>
        <v>74.850433999999993</v>
      </c>
      <c r="O207" s="18">
        <f t="shared" si="30"/>
        <v>74.850433999999993</v>
      </c>
    </row>
    <row r="208" spans="2:15" ht="25.5">
      <c r="B208" s="12">
        <v>205</v>
      </c>
      <c r="C208" s="13" t="s">
        <v>505</v>
      </c>
      <c r="D208" s="14" t="s">
        <v>506</v>
      </c>
      <c r="E208" s="14" t="s">
        <v>500</v>
      </c>
      <c r="F208" s="15">
        <v>1</v>
      </c>
      <c r="G208" s="16">
        <v>1</v>
      </c>
      <c r="H208" s="17">
        <f>F208 * G208 * 25.416651</f>
        <v>25.416651000000002</v>
      </c>
      <c r="I208" s="17">
        <f>F208 * G208 * 5.959743</f>
        <v>5.9597429999999996</v>
      </c>
      <c r="J208" s="17">
        <f t="shared" si="28"/>
        <v>0</v>
      </c>
      <c r="K208" s="17">
        <f>F208 * G208 * 25.467485</f>
        <v>25.467485</v>
      </c>
      <c r="L208" s="17">
        <f>F208 * G208 * 10.374008</f>
        <v>10.374008</v>
      </c>
      <c r="M208" s="17">
        <f t="shared" si="29"/>
        <v>0</v>
      </c>
      <c r="N208" s="23">
        <f t="shared" si="31"/>
        <v>67.217887000000005</v>
      </c>
      <c r="O208" s="18">
        <f t="shared" si="30"/>
        <v>67.217887000000005</v>
      </c>
    </row>
    <row r="209" spans="2:15" ht="25.5">
      <c r="B209" s="12">
        <v>206</v>
      </c>
      <c r="C209" s="13" t="s">
        <v>507</v>
      </c>
      <c r="D209" s="14" t="s">
        <v>508</v>
      </c>
      <c r="E209" s="14" t="s">
        <v>509</v>
      </c>
      <c r="F209" s="15">
        <v>1</v>
      </c>
      <c r="G209" s="16">
        <v>1</v>
      </c>
      <c r="H209" s="17">
        <f>F209 * G209 * 1977.743855</f>
        <v>1977.7438549999999</v>
      </c>
      <c r="I209" s="17">
        <f>F209 * G209 * 0</f>
        <v>0</v>
      </c>
      <c r="J209" s="17">
        <f t="shared" si="28"/>
        <v>0</v>
      </c>
      <c r="K209" s="17">
        <f>F209 * G209 * 1981.699343</f>
        <v>1981.699343</v>
      </c>
      <c r="L209" s="17">
        <f>F209 * G209 * 722.598384</f>
        <v>722.59838400000001</v>
      </c>
      <c r="M209" s="17">
        <f t="shared" si="29"/>
        <v>0</v>
      </c>
      <c r="N209" s="23">
        <f t="shared" si="31"/>
        <v>4682.0415819999998</v>
      </c>
      <c r="O209" s="18">
        <f t="shared" si="30"/>
        <v>4682.0415819999998</v>
      </c>
    </row>
    <row r="210" spans="2:15" ht="25.5">
      <c r="B210" s="12">
        <v>207</v>
      </c>
      <c r="C210" s="13" t="s">
        <v>510</v>
      </c>
      <c r="D210" s="14" t="s">
        <v>511</v>
      </c>
      <c r="E210" s="14" t="s">
        <v>376</v>
      </c>
      <c r="F210" s="15">
        <v>1</v>
      </c>
      <c r="G210" s="16">
        <v>1</v>
      </c>
      <c r="H210" s="17">
        <f>F210 * G210 * 18426.474</f>
        <v>18426.473999999998</v>
      </c>
      <c r="I210" s="17">
        <f>F210 * G210 * 326484.252916</f>
        <v>326484.25291600003</v>
      </c>
      <c r="J210" s="17">
        <f t="shared" si="28"/>
        <v>0</v>
      </c>
      <c r="K210" s="17">
        <f>F210 * G210 * 18463.326948</f>
        <v>18463.326948000002</v>
      </c>
      <c r="L210" s="17">
        <f>F210 * G210 * 66315.76483</f>
        <v>66315.76483</v>
      </c>
      <c r="M210" s="17">
        <f t="shared" si="29"/>
        <v>0</v>
      </c>
      <c r="N210" s="23">
        <f t="shared" si="26"/>
        <v>4296.8981869400004</v>
      </c>
      <c r="O210" s="18">
        <f t="shared" si="30"/>
        <v>429689.81869400002</v>
      </c>
    </row>
    <row r="211" spans="2:15" ht="38.25">
      <c r="B211" s="12">
        <v>208</v>
      </c>
      <c r="C211" s="13" t="s">
        <v>512</v>
      </c>
      <c r="D211" s="14" t="s">
        <v>513</v>
      </c>
      <c r="E211" s="14" t="s">
        <v>514</v>
      </c>
      <c r="F211" s="15">
        <v>1</v>
      </c>
      <c r="G211" s="16">
        <v>1</v>
      </c>
      <c r="H211" s="17">
        <f>F211 * G211 * 8239.600075</f>
        <v>8239.6000750000003</v>
      </c>
      <c r="I211" s="17">
        <f>F211 * G211 * 1587.225486</f>
        <v>1587.225486</v>
      </c>
      <c r="J211" s="17">
        <f t="shared" si="28"/>
        <v>0</v>
      </c>
      <c r="K211" s="17">
        <f>F211 * G211 * 8256.079276</f>
        <v>8256.0792760000004</v>
      </c>
      <c r="L211" s="17">
        <f>F211 * G211 * 3300.130133</f>
        <v>3300.1301330000001</v>
      </c>
      <c r="M211" s="17">
        <f t="shared" si="29"/>
        <v>0</v>
      </c>
      <c r="N211" s="23">
        <f t="shared" si="26"/>
        <v>213.8303497</v>
      </c>
      <c r="O211" s="18">
        <f t="shared" si="30"/>
        <v>21383.034970000001</v>
      </c>
    </row>
    <row r="212" spans="2:15" ht="38.25">
      <c r="B212" s="12">
        <v>209</v>
      </c>
      <c r="C212" s="13" t="s">
        <v>515</v>
      </c>
      <c r="D212" s="14" t="s">
        <v>516</v>
      </c>
      <c r="E212" s="14" t="s">
        <v>514</v>
      </c>
      <c r="F212" s="15">
        <v>1</v>
      </c>
      <c r="G212" s="16">
        <v>1</v>
      </c>
      <c r="H212" s="17">
        <f>F212 * G212 * 9437.216365</f>
        <v>9437.2163650000002</v>
      </c>
      <c r="I212" s="17">
        <f>F212 * G212 * 2174.748444</f>
        <v>2174.7484439999998</v>
      </c>
      <c r="J212" s="17">
        <f t="shared" si="28"/>
        <v>0</v>
      </c>
      <c r="K212" s="17">
        <f>F212 * G212 * 9456.090798</f>
        <v>9456.0907979999993</v>
      </c>
      <c r="L212" s="17">
        <f>F212 * G212 * 3844.920149</f>
        <v>3844.920149</v>
      </c>
      <c r="M212" s="17">
        <f t="shared" si="29"/>
        <v>0</v>
      </c>
      <c r="N212" s="23">
        <f t="shared" si="26"/>
        <v>249.12975756000003</v>
      </c>
      <c r="O212" s="18">
        <f t="shared" si="30"/>
        <v>24912.975756000003</v>
      </c>
    </row>
    <row r="213" spans="2:15" ht="25.5">
      <c r="B213" s="12">
        <v>210</v>
      </c>
      <c r="C213" s="13" t="s">
        <v>517</v>
      </c>
      <c r="D213" s="14" t="s">
        <v>518</v>
      </c>
      <c r="E213" s="14" t="s">
        <v>163</v>
      </c>
      <c r="F213" s="15">
        <v>1</v>
      </c>
      <c r="G213" s="16">
        <v>1</v>
      </c>
      <c r="H213" s="17">
        <f>F213 * G213 * 9040.11435</f>
        <v>9040.1143499999998</v>
      </c>
      <c r="I213" s="17">
        <f>F213 * G213 * 17405.613021</f>
        <v>17405.613021000001</v>
      </c>
      <c r="J213" s="17">
        <f t="shared" ref="J213:J244" si="32">F213 * G213 * 0</f>
        <v>0</v>
      </c>
      <c r="K213" s="17">
        <f>F213 * G213 * 9058.19457899999</f>
        <v>9058.19457899999</v>
      </c>
      <c r="L213" s="17">
        <f>F213 * G213 * 6479.465756</f>
        <v>6479.4657559999996</v>
      </c>
      <c r="M213" s="17">
        <f t="shared" si="29"/>
        <v>0</v>
      </c>
      <c r="N213" s="23">
        <f t="shared" si="26"/>
        <v>419.83387705999985</v>
      </c>
      <c r="O213" s="18">
        <f t="shared" si="30"/>
        <v>41983.387705999987</v>
      </c>
    </row>
    <row r="214" spans="2:15" ht="25.5">
      <c r="B214" s="12">
        <v>211</v>
      </c>
      <c r="C214" s="13" t="s">
        <v>519</v>
      </c>
      <c r="D214" s="14" t="s">
        <v>520</v>
      </c>
      <c r="E214" s="14" t="s">
        <v>163</v>
      </c>
      <c r="F214" s="15">
        <v>1</v>
      </c>
      <c r="G214" s="16">
        <v>1</v>
      </c>
      <c r="H214" s="17">
        <f>F214 * G214 * 11495.45405</f>
        <v>11495.45405</v>
      </c>
      <c r="I214" s="17">
        <f>F214 * G214 * 37956.7385639999</f>
        <v>37956.738563999897</v>
      </c>
      <c r="J214" s="17">
        <f t="shared" si="32"/>
        <v>0</v>
      </c>
      <c r="K214" s="17">
        <f>F214 * G214 * 11518.444958</f>
        <v>11518.444958</v>
      </c>
      <c r="L214" s="17">
        <f>F214 * G214 * 11127.141357</f>
        <v>11127.141357</v>
      </c>
      <c r="M214" s="17">
        <f t="shared" si="29"/>
        <v>0</v>
      </c>
      <c r="N214" s="23">
        <f t="shared" si="26"/>
        <v>720.97778928999901</v>
      </c>
      <c r="O214" s="18">
        <f t="shared" si="30"/>
        <v>72097.778928999905</v>
      </c>
    </row>
    <row r="215" spans="2:15" ht="25.5">
      <c r="B215" s="12">
        <v>212</v>
      </c>
      <c r="C215" s="13" t="s">
        <v>521</v>
      </c>
      <c r="D215" s="14" t="s">
        <v>522</v>
      </c>
      <c r="E215" s="14" t="s">
        <v>163</v>
      </c>
      <c r="F215" s="15">
        <v>1</v>
      </c>
      <c r="G215" s="16">
        <v>1</v>
      </c>
      <c r="H215" s="17">
        <f>F215 * G215 * 14843.64455</f>
        <v>14843.644550000001</v>
      </c>
      <c r="I215" s="17">
        <f>F215 * G215 * 101249.684808</f>
        <v>101249.68480800001</v>
      </c>
      <c r="J215" s="17">
        <f t="shared" si="32"/>
        <v>0</v>
      </c>
      <c r="K215" s="17">
        <f>F215 * G215 * 14873.331839</f>
        <v>14873.331839</v>
      </c>
      <c r="L215" s="17">
        <f>F215 * G215 * 23901.415669</f>
        <v>23901.415669000002</v>
      </c>
      <c r="M215" s="17">
        <f t="shared" si="29"/>
        <v>0</v>
      </c>
      <c r="N215" s="23">
        <f t="shared" si="26"/>
        <v>1548.6807686600002</v>
      </c>
      <c r="O215" s="18">
        <f t="shared" si="30"/>
        <v>154868.07686600002</v>
      </c>
    </row>
    <row r="216" spans="2:15">
      <c r="B216" s="12">
        <v>213</v>
      </c>
      <c r="C216" s="13" t="s">
        <v>523</v>
      </c>
      <c r="D216" s="14" t="s">
        <v>524</v>
      </c>
      <c r="E216" s="14" t="s">
        <v>163</v>
      </c>
      <c r="F216" s="15">
        <v>1</v>
      </c>
      <c r="G216" s="16">
        <v>1</v>
      </c>
      <c r="H216" s="17">
        <f>F216 * G216 * 34374.7558</f>
        <v>34374.755799999999</v>
      </c>
      <c r="I216" s="17">
        <f>F216 * G216 * 217917.691021</f>
        <v>217917.69102100001</v>
      </c>
      <c r="J216" s="17">
        <f t="shared" si="32"/>
        <v>0</v>
      </c>
      <c r="K216" s="17">
        <f>F216 * G216 * 34443.505312</f>
        <v>34443.505312000001</v>
      </c>
      <c r="L216" s="17">
        <f>F216 * G216 * 52329.311264</f>
        <v>52329.311264000004</v>
      </c>
      <c r="M216" s="17">
        <f t="shared" si="29"/>
        <v>0</v>
      </c>
      <c r="N216" s="23">
        <f t="shared" si="26"/>
        <v>3390.6526339700004</v>
      </c>
      <c r="O216" s="18">
        <f t="shared" si="30"/>
        <v>339065.26339700003</v>
      </c>
    </row>
    <row r="217" spans="2:15">
      <c r="B217" s="12">
        <v>214</v>
      </c>
      <c r="C217" s="13" t="s">
        <v>525</v>
      </c>
      <c r="D217" s="14" t="s">
        <v>526</v>
      </c>
      <c r="E217" s="14" t="s">
        <v>163</v>
      </c>
      <c r="F217" s="15">
        <v>1</v>
      </c>
      <c r="G217" s="16">
        <v>1</v>
      </c>
      <c r="H217" s="17">
        <f>F217 * G217 * 47097.8797</f>
        <v>47097.879699999998</v>
      </c>
      <c r="I217" s="17">
        <f>F217 * G217 * 501988.264153</f>
        <v>501988.26415300003</v>
      </c>
      <c r="J217" s="17">
        <f t="shared" si="32"/>
        <v>0</v>
      </c>
      <c r="K217" s="17">
        <f>F217 * G217 * 47192.075459</f>
        <v>47192.075459</v>
      </c>
      <c r="L217" s="17">
        <f>F217 * G217 * 108820.775024</f>
        <v>108820.775024</v>
      </c>
      <c r="M217" s="17">
        <f t="shared" si="29"/>
        <v>0</v>
      </c>
      <c r="N217" s="23">
        <f t="shared" si="26"/>
        <v>7050.9899433599994</v>
      </c>
      <c r="O217" s="18">
        <f t="shared" si="30"/>
        <v>705098.99433599995</v>
      </c>
    </row>
    <row r="218" spans="2:15">
      <c r="B218" s="12">
        <v>215</v>
      </c>
      <c r="C218" s="13" t="s">
        <v>527</v>
      </c>
      <c r="D218" s="14" t="s">
        <v>528</v>
      </c>
      <c r="E218" s="14" t="s">
        <v>163</v>
      </c>
      <c r="F218" s="15">
        <v>1</v>
      </c>
      <c r="G218" s="16">
        <v>1</v>
      </c>
      <c r="H218" s="17">
        <f>F218 * G218 * 61271.88615</f>
        <v>61271.886149999998</v>
      </c>
      <c r="I218" s="17">
        <f>F218 * G218 * 1098346.358137</f>
        <v>1098346.3581369999</v>
      </c>
      <c r="J218" s="17">
        <f t="shared" si="32"/>
        <v>0</v>
      </c>
      <c r="K218" s="17">
        <f>F218 * G218 * 61394.4299219999</f>
        <v>61394.429921999901</v>
      </c>
      <c r="L218" s="17">
        <f>F218 * G218 * 222834.813043</f>
        <v>222834.813043</v>
      </c>
      <c r="M218" s="17">
        <f t="shared" si="29"/>
        <v>0</v>
      </c>
      <c r="N218" s="23">
        <f t="shared" si="26"/>
        <v>14438.474872519995</v>
      </c>
      <c r="O218" s="18">
        <f t="shared" si="30"/>
        <v>1443847.4872519996</v>
      </c>
    </row>
    <row r="219" spans="2:15">
      <c r="B219" s="12">
        <v>216</v>
      </c>
      <c r="C219" s="13" t="s">
        <v>529</v>
      </c>
      <c r="D219" s="14" t="s">
        <v>530</v>
      </c>
      <c r="E219" s="14" t="s">
        <v>423</v>
      </c>
      <c r="F219" s="15">
        <v>1</v>
      </c>
      <c r="G219" s="16">
        <v>1</v>
      </c>
      <c r="H219" s="17">
        <f>F219 * G219 * 1301.9</f>
        <v>1301.9000000000001</v>
      </c>
      <c r="I219" s="17">
        <f>F219 * G219 * 806322.12877</f>
        <v>806322.12876999995</v>
      </c>
      <c r="J219" s="17">
        <f t="shared" si="32"/>
        <v>0</v>
      </c>
      <c r="K219" s="17">
        <f>F219 * G219 * 1304.5038</f>
        <v>1304.5038</v>
      </c>
      <c r="L219" s="17">
        <f>F219 * G219 * 147629.457194</f>
        <v>147629.45719399999</v>
      </c>
      <c r="M219" s="17">
        <f t="shared" si="29"/>
        <v>0</v>
      </c>
      <c r="N219" s="23">
        <f t="shared" si="26"/>
        <v>9565.5798976400001</v>
      </c>
      <c r="O219" s="18">
        <f t="shared" si="30"/>
        <v>956557.98976399994</v>
      </c>
    </row>
    <row r="220" spans="2:15" ht="38.25">
      <c r="B220" s="12">
        <v>217</v>
      </c>
      <c r="C220" s="13" t="s">
        <v>531</v>
      </c>
      <c r="D220" s="14" t="s">
        <v>532</v>
      </c>
      <c r="E220" s="14" t="s">
        <v>454</v>
      </c>
      <c r="F220" s="15">
        <v>1</v>
      </c>
      <c r="G220" s="16">
        <v>1</v>
      </c>
      <c r="H220" s="17">
        <f>F220 * G220 * 13102.59772</f>
        <v>13102.59772</v>
      </c>
      <c r="I220" s="17">
        <f>F220 * G220 * 18897.674165</f>
        <v>18897.674165</v>
      </c>
      <c r="J220" s="17">
        <f t="shared" si="32"/>
        <v>0</v>
      </c>
      <c r="K220" s="17">
        <f>F220 * G220 * 13128.802915</f>
        <v>13128.802915</v>
      </c>
      <c r="L220" s="17">
        <f>F220 * G220 * 8236.056151</f>
        <v>8236.0561510000007</v>
      </c>
      <c r="M220" s="17">
        <f t="shared" si="29"/>
        <v>0</v>
      </c>
      <c r="N220" s="23">
        <f t="shared" si="26"/>
        <v>533.65130951000003</v>
      </c>
      <c r="O220" s="18">
        <f t="shared" si="30"/>
        <v>53365.130950999999</v>
      </c>
    </row>
    <row r="221" spans="2:15" ht="38.25">
      <c r="B221" s="12">
        <v>218</v>
      </c>
      <c r="C221" s="13" t="s">
        <v>533</v>
      </c>
      <c r="D221" s="14" t="s">
        <v>534</v>
      </c>
      <c r="E221" s="14" t="s">
        <v>454</v>
      </c>
      <c r="F221" s="15">
        <v>1</v>
      </c>
      <c r="G221" s="16">
        <v>1</v>
      </c>
      <c r="H221" s="17">
        <f>F221 * G221 * 13887.856145</f>
        <v>13887.856145</v>
      </c>
      <c r="I221" s="17">
        <f>F221 * G221 * 31863.090366</f>
        <v>31863.090366</v>
      </c>
      <c r="J221" s="17">
        <f t="shared" si="32"/>
        <v>0</v>
      </c>
      <c r="K221" s="17">
        <f>F221 * G221 * 13915.631858</f>
        <v>13915.631858000001</v>
      </c>
      <c r="L221" s="17">
        <f>F221 * G221 * 10889.150553</f>
        <v>10889.150552999999</v>
      </c>
      <c r="M221" s="17">
        <f t="shared" si="29"/>
        <v>0</v>
      </c>
      <c r="N221" s="23">
        <f t="shared" si="26"/>
        <v>705.55728922000014</v>
      </c>
      <c r="O221" s="18">
        <f t="shared" si="30"/>
        <v>70555.728922000009</v>
      </c>
    </row>
    <row r="222" spans="2:15" ht="38.25">
      <c r="B222" s="12">
        <v>219</v>
      </c>
      <c r="C222" s="13" t="s">
        <v>535</v>
      </c>
      <c r="D222" s="14" t="s">
        <v>536</v>
      </c>
      <c r="E222" s="14" t="s">
        <v>454</v>
      </c>
      <c r="F222" s="15">
        <v>1</v>
      </c>
      <c r="G222" s="16">
        <v>1</v>
      </c>
      <c r="H222" s="17">
        <f>F222 * G222 * 13102.59772</f>
        <v>13102.59772</v>
      </c>
      <c r="I222" s="17">
        <f>F222 * G222 * 18897.674165</f>
        <v>18897.674165</v>
      </c>
      <c r="J222" s="17">
        <f t="shared" si="32"/>
        <v>0</v>
      </c>
      <c r="K222" s="17">
        <f>F222 * G222 * 13128.802915</f>
        <v>13128.802915</v>
      </c>
      <c r="L222" s="17">
        <f>F222 * G222 * 8236.056151</f>
        <v>8236.0561510000007</v>
      </c>
      <c r="M222" s="17">
        <f t="shared" si="29"/>
        <v>0</v>
      </c>
      <c r="N222" s="23">
        <f t="shared" si="26"/>
        <v>533.65130951000003</v>
      </c>
      <c r="O222" s="18">
        <f t="shared" si="30"/>
        <v>53365.130950999999</v>
      </c>
    </row>
    <row r="223" spans="2:15" ht="38.25">
      <c r="B223" s="12">
        <v>220</v>
      </c>
      <c r="C223" s="13" t="s">
        <v>537</v>
      </c>
      <c r="D223" s="14" t="s">
        <v>538</v>
      </c>
      <c r="E223" s="14" t="s">
        <v>454</v>
      </c>
      <c r="F223" s="15">
        <v>1</v>
      </c>
      <c r="G223" s="16">
        <v>1</v>
      </c>
      <c r="H223" s="17">
        <f>F223 * G223 * 13887.856145</f>
        <v>13887.856145</v>
      </c>
      <c r="I223" s="17">
        <f>F223 * G223 * 31863.090366</f>
        <v>31863.090366</v>
      </c>
      <c r="J223" s="17">
        <f t="shared" si="32"/>
        <v>0</v>
      </c>
      <c r="K223" s="17">
        <f>F223 * G223 * 13915.631858</f>
        <v>13915.631858000001</v>
      </c>
      <c r="L223" s="17">
        <f>F223 * G223 * 10889.150553</f>
        <v>10889.150552999999</v>
      </c>
      <c r="M223" s="17">
        <f t="shared" si="29"/>
        <v>0</v>
      </c>
      <c r="N223" s="23">
        <f t="shared" si="26"/>
        <v>705.55728922000014</v>
      </c>
      <c r="O223" s="18">
        <f t="shared" si="30"/>
        <v>70555.728922000009</v>
      </c>
    </row>
    <row r="224" spans="2:15" ht="38.25">
      <c r="B224" s="12">
        <v>221</v>
      </c>
      <c r="C224" s="13" t="s">
        <v>539</v>
      </c>
      <c r="D224" s="14" t="s">
        <v>540</v>
      </c>
      <c r="E224" s="14" t="s">
        <v>454</v>
      </c>
      <c r="F224" s="15">
        <v>1</v>
      </c>
      <c r="G224" s="16">
        <v>1</v>
      </c>
      <c r="H224" s="17">
        <f>F224 * G224 * 13853.760984</f>
        <v>13853.760984</v>
      </c>
      <c r="I224" s="17">
        <f>F224 * G224 * 108791.172107</f>
        <v>108791.17210700001</v>
      </c>
      <c r="J224" s="17">
        <f t="shared" si="32"/>
        <v>0</v>
      </c>
      <c r="K224" s="17">
        <f>F224 * G224 * 13881.468506</f>
        <v>13881.468505999999</v>
      </c>
      <c r="L224" s="17">
        <f>F224 * G224 * 24916.068292</f>
        <v>24916.068292</v>
      </c>
      <c r="M224" s="17">
        <f t="shared" si="29"/>
        <v>0</v>
      </c>
      <c r="N224" s="23">
        <f t="shared" si="26"/>
        <v>1614.4246988900004</v>
      </c>
      <c r="O224" s="18">
        <f t="shared" si="30"/>
        <v>161442.46988900003</v>
      </c>
    </row>
    <row r="225" spans="2:15" ht="38.25">
      <c r="B225" s="12">
        <v>222</v>
      </c>
      <c r="C225" s="13" t="s">
        <v>541</v>
      </c>
      <c r="D225" s="14" t="s">
        <v>542</v>
      </c>
      <c r="E225" s="14" t="s">
        <v>454</v>
      </c>
      <c r="F225" s="15">
        <v>1</v>
      </c>
      <c r="G225" s="16">
        <v>1</v>
      </c>
      <c r="H225" s="17">
        <f>F225 * G225 * 49538.58864</f>
        <v>49538.588640000002</v>
      </c>
      <c r="I225" s="17">
        <f>F225 * G225 * 139333.824363</f>
        <v>139333.82436299999</v>
      </c>
      <c r="J225" s="17">
        <f t="shared" si="32"/>
        <v>0</v>
      </c>
      <c r="K225" s="17">
        <f>F225 * G225 * 49637.665817</f>
        <v>49637.665817000001</v>
      </c>
      <c r="L225" s="17">
        <f>F225 * G225 * 43528.089385</f>
        <v>43528.089384999999</v>
      </c>
      <c r="M225" s="17">
        <f t="shared" si="29"/>
        <v>0</v>
      </c>
      <c r="N225" s="23">
        <f t="shared" si="26"/>
        <v>2820.3816820500001</v>
      </c>
      <c r="O225" s="18">
        <f t="shared" si="30"/>
        <v>282038.16820499999</v>
      </c>
    </row>
    <row r="226" spans="2:15" ht="38.25">
      <c r="B226" s="12">
        <v>223</v>
      </c>
      <c r="C226" s="13" t="s">
        <v>543</v>
      </c>
      <c r="D226" s="14" t="s">
        <v>544</v>
      </c>
      <c r="E226" s="14" t="s">
        <v>454</v>
      </c>
      <c r="F226" s="15">
        <v>1</v>
      </c>
      <c r="G226" s="16">
        <v>1</v>
      </c>
      <c r="H226" s="17">
        <f>F226 * G226 * 52387.954925</f>
        <v>52387.954924999998</v>
      </c>
      <c r="I226" s="17">
        <f>F226 * G226 * 205967.826583</f>
        <v>205967.82658299999</v>
      </c>
      <c r="J226" s="17">
        <f t="shared" si="32"/>
        <v>0</v>
      </c>
      <c r="K226" s="17">
        <f>F226 * G226 * 52492.730834</f>
        <v>52492.730834000002</v>
      </c>
      <c r="L226" s="17">
        <f>F226 * G226 * 56729.853503</f>
        <v>56729.853502999998</v>
      </c>
      <c r="M226" s="17">
        <f t="shared" si="29"/>
        <v>0</v>
      </c>
      <c r="N226" s="23">
        <f t="shared" si="26"/>
        <v>3675.7836584499996</v>
      </c>
      <c r="O226" s="18">
        <f t="shared" si="30"/>
        <v>367578.36584499996</v>
      </c>
    </row>
    <row r="227" spans="2:15" ht="38.25">
      <c r="B227" s="12">
        <v>224</v>
      </c>
      <c r="C227" s="13" t="s">
        <v>545</v>
      </c>
      <c r="D227" s="14" t="s">
        <v>546</v>
      </c>
      <c r="E227" s="14" t="s">
        <v>454</v>
      </c>
      <c r="F227" s="15">
        <v>1</v>
      </c>
      <c r="G227" s="16">
        <v>1</v>
      </c>
      <c r="H227" s="17">
        <f>F227 * G227 * 75586.732395</f>
        <v>75586.732394999999</v>
      </c>
      <c r="I227" s="17">
        <f>F227 * G227 * 302703.245872</f>
        <v>302703.245872</v>
      </c>
      <c r="J227" s="17">
        <f t="shared" si="32"/>
        <v>0</v>
      </c>
      <c r="K227" s="17">
        <f>F227 * G227 * 75737.90586</f>
        <v>75737.905859999999</v>
      </c>
      <c r="L227" s="17">
        <f>F227 * G227 * 82860.088854</f>
        <v>82860.088854000001</v>
      </c>
      <c r="M227" s="17">
        <f t="shared" si="29"/>
        <v>0</v>
      </c>
      <c r="N227" s="23">
        <f t="shared" si="26"/>
        <v>5368.8797298099998</v>
      </c>
      <c r="O227" s="18">
        <f t="shared" si="30"/>
        <v>536887.97298099997</v>
      </c>
    </row>
    <row r="228" spans="2:15" ht="25.5">
      <c r="B228" s="12">
        <v>225</v>
      </c>
      <c r="C228" s="13" t="s">
        <v>547</v>
      </c>
      <c r="D228" s="14" t="s">
        <v>548</v>
      </c>
      <c r="E228" s="14" t="s">
        <v>549</v>
      </c>
      <c r="F228" s="15">
        <v>1</v>
      </c>
      <c r="G228" s="16">
        <v>1</v>
      </c>
      <c r="H228" s="17">
        <f>F228 * G228 * 8993.5842</f>
        <v>8993.5841999999993</v>
      </c>
      <c r="I228" s="17">
        <f>F228 * G228 * 1606.646543</f>
        <v>1606.6465430000001</v>
      </c>
      <c r="J228" s="17">
        <f t="shared" si="32"/>
        <v>0</v>
      </c>
      <c r="K228" s="17">
        <f>F228 * G228 * 9011.571368</f>
        <v>9011.5713680000008</v>
      </c>
      <c r="L228" s="17">
        <f>F228 * G228 * 3579.153885</f>
        <v>3579.1538850000002</v>
      </c>
      <c r="M228" s="17">
        <f t="shared" si="29"/>
        <v>0</v>
      </c>
      <c r="N228" s="23">
        <f t="shared" si="26"/>
        <v>231.90955996</v>
      </c>
      <c r="O228" s="18">
        <f t="shared" si="30"/>
        <v>23190.955996000001</v>
      </c>
    </row>
    <row r="229" spans="2:15" ht="25.5">
      <c r="B229" s="12">
        <v>226</v>
      </c>
      <c r="C229" s="13" t="s">
        <v>550</v>
      </c>
      <c r="D229" s="14" t="s">
        <v>551</v>
      </c>
      <c r="E229" s="14" t="s">
        <v>549</v>
      </c>
      <c r="F229" s="15">
        <v>1</v>
      </c>
      <c r="G229" s="16">
        <v>1</v>
      </c>
      <c r="H229" s="17">
        <f>F229 * G229 * 10166.6604</f>
        <v>10166.660400000001</v>
      </c>
      <c r="I229" s="17">
        <f>F229 * G229 * 1833.050994</f>
        <v>1833.0509939999999</v>
      </c>
      <c r="J229" s="17">
        <f t="shared" si="32"/>
        <v>0</v>
      </c>
      <c r="K229" s="17">
        <f>F229 * G229 * 10186.9937209999</f>
        <v>10186.993720999901</v>
      </c>
      <c r="L229" s="17">
        <f>F229 * G229 * 4049.073684</f>
        <v>4049.073684</v>
      </c>
      <c r="M229" s="17">
        <f t="shared" si="29"/>
        <v>0</v>
      </c>
      <c r="N229" s="23">
        <f t="shared" si="26"/>
        <v>262.357787989999</v>
      </c>
      <c r="O229" s="18">
        <f t="shared" si="30"/>
        <v>26235.778798999901</v>
      </c>
    </row>
    <row r="230" spans="2:15" ht="25.5">
      <c r="B230" s="12">
        <v>227</v>
      </c>
      <c r="C230" s="13" t="s">
        <v>552</v>
      </c>
      <c r="D230" s="14" t="s">
        <v>553</v>
      </c>
      <c r="E230" s="14" t="s">
        <v>549</v>
      </c>
      <c r="F230" s="15">
        <v>1</v>
      </c>
      <c r="G230" s="16">
        <v>1</v>
      </c>
      <c r="H230" s="17">
        <f>F230 * G230 * 11339.7366</f>
        <v>11339.7366</v>
      </c>
      <c r="I230" s="17">
        <f>F230 * G230 * 2939.675295</f>
        <v>2939.675295</v>
      </c>
      <c r="J230" s="17">
        <f t="shared" si="32"/>
        <v>0</v>
      </c>
      <c r="K230" s="17">
        <f>F230 * G230 * 11362.416073</f>
        <v>11362.416073</v>
      </c>
      <c r="L230" s="17">
        <f>F230 * G230 * 4679.633605</f>
        <v>4679.633605</v>
      </c>
      <c r="M230" s="17">
        <f t="shared" si="29"/>
        <v>0</v>
      </c>
      <c r="N230" s="23">
        <f t="shared" si="26"/>
        <v>303.21461572999999</v>
      </c>
      <c r="O230" s="18">
        <f t="shared" si="30"/>
        <v>30321.461573</v>
      </c>
    </row>
    <row r="231" spans="2:15" ht="25.5">
      <c r="B231" s="12">
        <v>228</v>
      </c>
      <c r="C231" s="13" t="s">
        <v>554</v>
      </c>
      <c r="D231" s="14" t="s">
        <v>555</v>
      </c>
      <c r="E231" s="14" t="s">
        <v>549</v>
      </c>
      <c r="F231" s="15">
        <v>1</v>
      </c>
      <c r="G231" s="16">
        <v>1</v>
      </c>
      <c r="H231" s="17">
        <f>F231 * G231 * 12512.8128</f>
        <v>12512.8128</v>
      </c>
      <c r="I231" s="17">
        <f>F231 * G231 * 3260.142099</f>
        <v>3260.1420990000001</v>
      </c>
      <c r="J231" s="17">
        <f t="shared" si="32"/>
        <v>0</v>
      </c>
      <c r="K231" s="17">
        <f>F231 * G231 * 12537.838426</f>
        <v>12537.838426</v>
      </c>
      <c r="L231" s="17">
        <f>F231 * G231 * 5166.719781</f>
        <v>5166.7197809999998</v>
      </c>
      <c r="M231" s="17">
        <f t="shared" si="29"/>
        <v>0</v>
      </c>
      <c r="N231" s="23">
        <f t="shared" si="26"/>
        <v>334.77513105999998</v>
      </c>
      <c r="O231" s="18">
        <f t="shared" si="30"/>
        <v>33477.513105999999</v>
      </c>
    </row>
    <row r="232" spans="2:15" ht="25.5">
      <c r="B232" s="12">
        <v>229</v>
      </c>
      <c r="C232" s="13" t="s">
        <v>556</v>
      </c>
      <c r="D232" s="14" t="s">
        <v>557</v>
      </c>
      <c r="E232" s="14" t="s">
        <v>156</v>
      </c>
      <c r="F232" s="15">
        <v>1</v>
      </c>
      <c r="G232" s="16">
        <v>1</v>
      </c>
      <c r="H232" s="17">
        <f>F232 * G232 * 1974.67827</f>
        <v>1974.6782700000001</v>
      </c>
      <c r="I232" s="17">
        <f>F232 * G232 * 745.30825</f>
        <v>745.30825000000004</v>
      </c>
      <c r="J232" s="17">
        <f t="shared" si="32"/>
        <v>0</v>
      </c>
      <c r="K232" s="17">
        <f>F232 * G232 * 1978.627627</f>
        <v>1978.6276270000001</v>
      </c>
      <c r="L232" s="17">
        <f>F232 * G232 * 857.497082</f>
        <v>857.49708199999998</v>
      </c>
      <c r="M232" s="17">
        <f t="shared" si="29"/>
        <v>0</v>
      </c>
      <c r="N232" s="23">
        <f t="shared" si="26"/>
        <v>55.561112290000004</v>
      </c>
      <c r="O232" s="18">
        <f t="shared" si="30"/>
        <v>5556.1112290000001</v>
      </c>
    </row>
    <row r="233" spans="2:15" ht="25.5">
      <c r="B233" s="12">
        <v>230</v>
      </c>
      <c r="C233" s="13" t="s">
        <v>558</v>
      </c>
      <c r="D233" s="14" t="s">
        <v>559</v>
      </c>
      <c r="E233" s="14" t="s">
        <v>560</v>
      </c>
      <c r="F233" s="15">
        <v>1</v>
      </c>
      <c r="G233" s="16">
        <v>1</v>
      </c>
      <c r="H233" s="17">
        <f>F233 * G233 * 6060.8937</f>
        <v>6060.8936999999996</v>
      </c>
      <c r="I233" s="17">
        <f>F233 * G233 * 117896.380092</f>
        <v>117896.38009200001</v>
      </c>
      <c r="J233" s="17">
        <f t="shared" si="32"/>
        <v>0</v>
      </c>
      <c r="K233" s="17">
        <f>F233 * G233 * 6073.015487</f>
        <v>6073.0154869999997</v>
      </c>
      <c r="L233" s="17">
        <f>F233 * G233 * 23730.527794</f>
        <v>23730.527794000001</v>
      </c>
      <c r="M233" s="17">
        <f t="shared" si="29"/>
        <v>0</v>
      </c>
      <c r="N233" s="23">
        <f t="shared" si="26"/>
        <v>1537.6081707300002</v>
      </c>
      <c r="O233" s="18">
        <f t="shared" si="30"/>
        <v>153760.81707300001</v>
      </c>
    </row>
    <row r="234" spans="2:15">
      <c r="B234" s="12">
        <v>231</v>
      </c>
      <c r="C234" s="13" t="s">
        <v>561</v>
      </c>
      <c r="D234" s="14" t="s">
        <v>562</v>
      </c>
      <c r="E234" s="14" t="s">
        <v>563</v>
      </c>
      <c r="F234" s="15">
        <v>1</v>
      </c>
      <c r="G234" s="16">
        <v>1</v>
      </c>
      <c r="H234" s="17">
        <f>F234 * G234 * 13685.889</f>
        <v>13685.888999999999</v>
      </c>
      <c r="I234" s="17">
        <f>F234 * G234 * 121311.889751</f>
        <v>121311.889751</v>
      </c>
      <c r="J234" s="17">
        <f t="shared" si="32"/>
        <v>0</v>
      </c>
      <c r="K234" s="17">
        <f>F234 * G234 * 13713.260778</f>
        <v>13713.260778</v>
      </c>
      <c r="L234" s="17">
        <f>F234 * G234 * 27139.764714</f>
        <v>27139.764714000001</v>
      </c>
      <c r="M234" s="17">
        <f t="shared" si="29"/>
        <v>0</v>
      </c>
      <c r="N234" s="23">
        <f t="shared" si="26"/>
        <v>1758.5080424299999</v>
      </c>
      <c r="O234" s="18">
        <f t="shared" si="30"/>
        <v>175850.80424299999</v>
      </c>
    </row>
    <row r="235" spans="2:15">
      <c r="B235" s="12">
        <v>232</v>
      </c>
      <c r="C235" s="13" t="s">
        <v>564</v>
      </c>
      <c r="D235" s="14" t="s">
        <v>565</v>
      </c>
      <c r="E235" s="14" t="s">
        <v>563</v>
      </c>
      <c r="F235" s="15">
        <v>1</v>
      </c>
      <c r="G235" s="16">
        <v>1</v>
      </c>
      <c r="H235" s="17">
        <f>F235 * G235 * 17596.143</f>
        <v>17596.143</v>
      </c>
      <c r="I235" s="17">
        <f>F235 * G235 * 177523.237751</f>
        <v>177523.23775100001</v>
      </c>
      <c r="J235" s="17">
        <f t="shared" si="32"/>
        <v>0</v>
      </c>
      <c r="K235" s="17">
        <f>F235 * G235 * 17631.335286</f>
        <v>17631.335286000001</v>
      </c>
      <c r="L235" s="17">
        <f>F235 * G235 * 38827.005677</f>
        <v>38827.005677000001</v>
      </c>
      <c r="M235" s="17">
        <f t="shared" si="29"/>
        <v>0</v>
      </c>
      <c r="N235" s="23">
        <f t="shared" si="26"/>
        <v>2515.7772171400002</v>
      </c>
      <c r="O235" s="18">
        <f t="shared" si="30"/>
        <v>251577.72171400001</v>
      </c>
    </row>
    <row r="236" spans="2:15" ht="25.5">
      <c r="B236" s="12">
        <v>233</v>
      </c>
      <c r="C236" s="13" t="s">
        <v>566</v>
      </c>
      <c r="D236" s="14" t="s">
        <v>567</v>
      </c>
      <c r="E236" s="14" t="s">
        <v>568</v>
      </c>
      <c r="F236" s="15">
        <v>1</v>
      </c>
      <c r="G236" s="16">
        <v>1</v>
      </c>
      <c r="H236" s="17">
        <f>F236 * G236 * 10362.1731</f>
        <v>10362.1731</v>
      </c>
      <c r="I236" s="17">
        <f>F236 * G236 * 3420.782594</f>
        <v>3420.7825939999998</v>
      </c>
      <c r="J236" s="17">
        <f t="shared" si="32"/>
        <v>0</v>
      </c>
      <c r="K236" s="17">
        <f>F236 * G236 * 10382.8974459999</f>
        <v>10382.897445999901</v>
      </c>
      <c r="L236" s="17">
        <f>F236 * G236 * 4410.268199</f>
        <v>4410.2681990000001</v>
      </c>
      <c r="M236" s="17">
        <f t="shared" si="29"/>
        <v>0</v>
      </c>
      <c r="N236" s="23">
        <f t="shared" si="26"/>
        <v>285.76121338999906</v>
      </c>
      <c r="O236" s="18">
        <f t="shared" si="30"/>
        <v>28576.121338999903</v>
      </c>
    </row>
    <row r="237" spans="2:15" ht="38.25">
      <c r="B237" s="12">
        <v>234</v>
      </c>
      <c r="C237" s="13" t="s">
        <v>569</v>
      </c>
      <c r="D237" s="14" t="s">
        <v>570</v>
      </c>
      <c r="E237" s="14" t="s">
        <v>571</v>
      </c>
      <c r="F237" s="15">
        <v>1</v>
      </c>
      <c r="G237" s="16">
        <v>1</v>
      </c>
      <c r="H237" s="17">
        <f>F237 * G237 * 64.519191</f>
        <v>64.519191000000006</v>
      </c>
      <c r="I237" s="17">
        <f>F237 * G237 * 0</f>
        <v>0</v>
      </c>
      <c r="J237" s="17">
        <f t="shared" si="32"/>
        <v>0</v>
      </c>
      <c r="K237" s="17">
        <f>F237 * G237 * 64.64823</f>
        <v>64.648229999999998</v>
      </c>
      <c r="L237" s="17">
        <f>F237 * G237 * 23.573055</f>
        <v>23.573055</v>
      </c>
      <c r="M237" s="17">
        <f t="shared" si="29"/>
        <v>0</v>
      </c>
      <c r="N237" s="23">
        <f>O237/G237/F237</f>
        <v>152.740476</v>
      </c>
      <c r="O237" s="18">
        <f t="shared" si="30"/>
        <v>152.740476</v>
      </c>
    </row>
    <row r="238" spans="2:15" ht="38.25">
      <c r="B238" s="12">
        <v>235</v>
      </c>
      <c r="C238" s="13" t="s">
        <v>572</v>
      </c>
      <c r="D238" s="14" t="s">
        <v>573</v>
      </c>
      <c r="E238" s="14" t="s">
        <v>571</v>
      </c>
      <c r="F238" s="15">
        <v>1</v>
      </c>
      <c r="G238" s="16">
        <v>1</v>
      </c>
      <c r="H238" s="17">
        <f>F238 * G238 * 84.070461</f>
        <v>84.070460999999995</v>
      </c>
      <c r="I238" s="17">
        <f>F238 * G238 * 0</f>
        <v>0</v>
      </c>
      <c r="J238" s="17">
        <f t="shared" si="32"/>
        <v>0</v>
      </c>
      <c r="K238" s="17">
        <f>F238 * G238 * 84.238602</f>
        <v>84.238602</v>
      </c>
      <c r="L238" s="17">
        <f>F238 * G238 * 30.7164039999999</f>
        <v>30.716403999999901</v>
      </c>
      <c r="M238" s="17">
        <f t="shared" si="29"/>
        <v>0</v>
      </c>
      <c r="N238" s="23">
        <f t="shared" ref="N238:N239" si="33">O238/G238/F238</f>
        <v>199.02546699999988</v>
      </c>
      <c r="O238" s="18">
        <f t="shared" si="30"/>
        <v>199.02546699999988</v>
      </c>
    </row>
    <row r="239" spans="2:15" ht="38.25">
      <c r="B239" s="12">
        <v>236</v>
      </c>
      <c r="C239" s="13" t="s">
        <v>574</v>
      </c>
      <c r="D239" s="14" t="s">
        <v>575</v>
      </c>
      <c r="E239" s="14" t="s">
        <v>571</v>
      </c>
      <c r="F239" s="15">
        <v>1</v>
      </c>
      <c r="G239" s="16">
        <v>1</v>
      </c>
      <c r="H239" s="17">
        <f>F239 * G239 * 101.666604</f>
        <v>101.66660400000001</v>
      </c>
      <c r="I239" s="17">
        <f>F239 * G239 * 0</f>
        <v>0</v>
      </c>
      <c r="J239" s="17">
        <f t="shared" si="32"/>
        <v>0</v>
      </c>
      <c r="K239" s="17">
        <f>F239 * G239 * 101.869937</f>
        <v>101.86993699999999</v>
      </c>
      <c r="L239" s="17">
        <f>F239 * G239 * 37.145419</f>
        <v>37.145418999999997</v>
      </c>
      <c r="M239" s="17">
        <f t="shared" si="29"/>
        <v>0</v>
      </c>
      <c r="N239" s="23">
        <f t="shared" si="33"/>
        <v>240.68196</v>
      </c>
      <c r="O239" s="18">
        <f t="shared" si="30"/>
        <v>240.68196</v>
      </c>
    </row>
    <row r="240" spans="2:15" ht="25.5">
      <c r="B240" s="12">
        <v>237</v>
      </c>
      <c r="C240" s="13" t="s">
        <v>576</v>
      </c>
      <c r="D240" s="14" t="s">
        <v>577</v>
      </c>
      <c r="E240" s="14" t="s">
        <v>514</v>
      </c>
      <c r="F240" s="15">
        <v>1</v>
      </c>
      <c r="G240" s="16">
        <v>1</v>
      </c>
      <c r="H240" s="17">
        <f>F240 * G240 * 11561.603415</f>
        <v>11561.603415</v>
      </c>
      <c r="I240" s="17">
        <f>F240 * G240 * 2237.640098</f>
        <v>2237.6400979999999</v>
      </c>
      <c r="J240" s="17">
        <f t="shared" si="32"/>
        <v>0</v>
      </c>
      <c r="K240" s="17">
        <f>F240 * G240 * 11584.726622</f>
        <v>11584.726622</v>
      </c>
      <c r="L240" s="17">
        <f>F240 * G240 * 4632.574549</f>
        <v>4632.5745489999999</v>
      </c>
      <c r="M240" s="17">
        <f t="shared" si="29"/>
        <v>0</v>
      </c>
      <c r="N240" s="23">
        <f t="shared" ref="N239:N302" si="34">O240/G240/F240/100</f>
        <v>300.16544684000002</v>
      </c>
      <c r="O240" s="18">
        <f t="shared" si="30"/>
        <v>30016.544684</v>
      </c>
    </row>
    <row r="241" spans="2:15" ht="25.5">
      <c r="B241" s="12">
        <v>238</v>
      </c>
      <c r="C241" s="13" t="s">
        <v>578</v>
      </c>
      <c r="D241" s="14" t="s">
        <v>579</v>
      </c>
      <c r="E241" s="14" t="s">
        <v>514</v>
      </c>
      <c r="F241" s="15">
        <v>1</v>
      </c>
      <c r="G241" s="16">
        <v>1</v>
      </c>
      <c r="H241" s="17">
        <f>F241 * G241 * 14850.441996</f>
        <v>14850.441996</v>
      </c>
      <c r="I241" s="17">
        <f>F241 * G241 * 3638.181322</f>
        <v>3638.1813219999999</v>
      </c>
      <c r="J241" s="17">
        <f t="shared" si="32"/>
        <v>0</v>
      </c>
      <c r="K241" s="17">
        <f>F241 * G241 * 14880.14288</f>
        <v>14880.142879999999</v>
      </c>
      <c r="L241" s="17">
        <f>F241 * G241 * 6089.799831</f>
        <v>6089.7998310000003</v>
      </c>
      <c r="M241" s="17">
        <f t="shared" si="29"/>
        <v>0</v>
      </c>
      <c r="N241" s="23">
        <f t="shared" si="34"/>
        <v>394.58566028999996</v>
      </c>
      <c r="O241" s="18">
        <f t="shared" si="30"/>
        <v>39458.566028999994</v>
      </c>
    </row>
    <row r="242" spans="2:15" ht="25.5">
      <c r="B242" s="12">
        <v>239</v>
      </c>
      <c r="C242" s="13" t="s">
        <v>580</v>
      </c>
      <c r="D242" s="14" t="s">
        <v>581</v>
      </c>
      <c r="E242" s="14" t="s">
        <v>514</v>
      </c>
      <c r="F242" s="15">
        <v>1</v>
      </c>
      <c r="G242" s="16">
        <v>1</v>
      </c>
      <c r="H242" s="17">
        <f>F242 * G242 * 15756.66336</f>
        <v>15756.66336</v>
      </c>
      <c r="I242" s="17">
        <f>F242 * G242 * 2516.269216</f>
        <v>2516.2692160000001</v>
      </c>
      <c r="J242" s="17">
        <f t="shared" si="32"/>
        <v>0</v>
      </c>
      <c r="K242" s="17">
        <f>F242 * G242 * 15788.176687</f>
        <v>15788.176686999999</v>
      </c>
      <c r="L242" s="17">
        <f>F242 * G242 * 6216.152441</f>
        <v>6216.1524410000002</v>
      </c>
      <c r="M242" s="17">
        <f t="shared" si="29"/>
        <v>0</v>
      </c>
      <c r="N242" s="23">
        <f t="shared" si="34"/>
        <v>402.77261703999994</v>
      </c>
      <c r="O242" s="18">
        <f t="shared" si="30"/>
        <v>40277.261703999997</v>
      </c>
    </row>
    <row r="243" spans="2:15" ht="25.5">
      <c r="B243" s="12">
        <v>240</v>
      </c>
      <c r="C243" s="13" t="s">
        <v>582</v>
      </c>
      <c r="D243" s="14" t="s">
        <v>583</v>
      </c>
      <c r="E243" s="14" t="s">
        <v>514</v>
      </c>
      <c r="F243" s="15">
        <v>1</v>
      </c>
      <c r="G243" s="16">
        <v>1</v>
      </c>
      <c r="H243" s="17">
        <f>F243 * G243 * 19264.161198</f>
        <v>19264.161198000002</v>
      </c>
      <c r="I243" s="17">
        <f>F243 * G243 * 3909.414802</f>
        <v>3909.4148019999998</v>
      </c>
      <c r="J243" s="17">
        <f t="shared" si="32"/>
        <v>0</v>
      </c>
      <c r="K243" s="17">
        <f>F243 * G243 * 19302.689521</f>
        <v>19302.689521</v>
      </c>
      <c r="L243" s="17">
        <f>F243 * G243 * 7751.918457</f>
        <v>7751.9184569999998</v>
      </c>
      <c r="M243" s="17">
        <f t="shared" si="29"/>
        <v>0</v>
      </c>
      <c r="N243" s="23">
        <f t="shared" si="34"/>
        <v>502.28183977999998</v>
      </c>
      <c r="O243" s="18">
        <f t="shared" si="30"/>
        <v>50228.183978000001</v>
      </c>
    </row>
    <row r="244" spans="2:15" ht="25.5">
      <c r="B244" s="12">
        <v>241</v>
      </c>
      <c r="C244" s="13" t="s">
        <v>584</v>
      </c>
      <c r="D244" s="14" t="s">
        <v>585</v>
      </c>
      <c r="E244" s="14" t="s">
        <v>586</v>
      </c>
      <c r="F244" s="15">
        <v>1</v>
      </c>
      <c r="G244" s="16">
        <v>1</v>
      </c>
      <c r="H244" s="17">
        <f>F244 * G244 * 86.025588</f>
        <v>86.025587999999999</v>
      </c>
      <c r="I244" s="17">
        <f>F244 * G244 * 188.33268</f>
        <v>188.33268000000001</v>
      </c>
      <c r="J244" s="17">
        <f t="shared" si="32"/>
        <v>0</v>
      </c>
      <c r="K244" s="17">
        <f>F244 * G244 * 86.19764</f>
        <v>86.197640000000007</v>
      </c>
      <c r="L244" s="17">
        <f>F244 * G244 * 65.801453</f>
        <v>65.801452999999995</v>
      </c>
      <c r="M244" s="17">
        <f t="shared" si="29"/>
        <v>0</v>
      </c>
      <c r="N244" s="23">
        <f>O244/G244/F244</f>
        <v>426.35736100000003</v>
      </c>
      <c r="O244" s="18">
        <f t="shared" si="30"/>
        <v>426.35736100000003</v>
      </c>
    </row>
    <row r="245" spans="2:15" ht="25.5">
      <c r="B245" s="12">
        <v>242</v>
      </c>
      <c r="C245" s="13" t="s">
        <v>587</v>
      </c>
      <c r="D245" s="14" t="s">
        <v>588</v>
      </c>
      <c r="E245" s="14" t="s">
        <v>589</v>
      </c>
      <c r="F245" s="15">
        <v>1</v>
      </c>
      <c r="G245" s="16">
        <v>1</v>
      </c>
      <c r="H245" s="17">
        <f>F245 * G245 * 82.6694</f>
        <v>82.669399999999996</v>
      </c>
      <c r="I245" s="17">
        <f>F245 * G245 * 1543.22748</f>
        <v>1543.22748</v>
      </c>
      <c r="J245" s="17">
        <f t="shared" ref="J245:J276" si="35">F245 * G245 * 0</f>
        <v>0</v>
      </c>
      <c r="K245" s="17">
        <f>F245 * G245 * 82.834739</f>
        <v>82.834738999999999</v>
      </c>
      <c r="L245" s="17">
        <f>F245 * G245 * 311.84352</f>
        <v>311.84352000000001</v>
      </c>
      <c r="M245" s="17">
        <f t="shared" si="29"/>
        <v>0</v>
      </c>
      <c r="N245" s="23">
        <f t="shared" ref="N245:N254" si="36">O245/G245/F245</f>
        <v>2020.575139</v>
      </c>
      <c r="O245" s="18">
        <f t="shared" si="30"/>
        <v>2020.575139</v>
      </c>
    </row>
    <row r="246" spans="2:15">
      <c r="B246" s="12">
        <v>243</v>
      </c>
      <c r="C246" s="13" t="s">
        <v>590</v>
      </c>
      <c r="D246" s="14" t="s">
        <v>591</v>
      </c>
      <c r="E246" s="14" t="s">
        <v>592</v>
      </c>
      <c r="F246" s="15">
        <v>1</v>
      </c>
      <c r="G246" s="16">
        <v>1</v>
      </c>
      <c r="H246" s="17">
        <f>F246 * G246 * 48.878175</f>
        <v>48.878174999999999</v>
      </c>
      <c r="I246" s="17">
        <f>F246 * G246 * 2793.82968</f>
        <v>2793.8296799999998</v>
      </c>
      <c r="J246" s="17">
        <f t="shared" si="35"/>
        <v>0</v>
      </c>
      <c r="K246" s="17">
        <f>F246 * G246 * 48.975932</f>
        <v>48.975932</v>
      </c>
      <c r="L246" s="17">
        <f>F246 * G246 * 527.732291</f>
        <v>527.73229100000003</v>
      </c>
      <c r="M246" s="17">
        <f t="shared" si="29"/>
        <v>0</v>
      </c>
      <c r="N246" s="23">
        <f t="shared" si="36"/>
        <v>3419.4160779999993</v>
      </c>
      <c r="O246" s="18">
        <f t="shared" si="30"/>
        <v>3419.4160779999993</v>
      </c>
    </row>
    <row r="247" spans="2:15">
      <c r="B247" s="12">
        <v>244</v>
      </c>
      <c r="C247" s="13" t="s">
        <v>593</v>
      </c>
      <c r="D247" s="14" t="s">
        <v>594</v>
      </c>
      <c r="E247" s="14" t="s">
        <v>595</v>
      </c>
      <c r="F247" s="15">
        <v>1</v>
      </c>
      <c r="G247" s="16">
        <v>1</v>
      </c>
      <c r="H247" s="17">
        <f>F247 * G247 * 15.641016</f>
        <v>15.641016</v>
      </c>
      <c r="I247" s="17">
        <f>F247 * G247 * 1053.14316</f>
        <v>1053.1431600000001</v>
      </c>
      <c r="J247" s="17">
        <f t="shared" si="35"/>
        <v>0</v>
      </c>
      <c r="K247" s="17">
        <f>F247 * G247 * 15.672298</f>
        <v>15.672298</v>
      </c>
      <c r="L247" s="17">
        <f>F247 * G247 * 197.913307</f>
        <v>197.913307</v>
      </c>
      <c r="M247" s="17">
        <f t="shared" si="29"/>
        <v>0</v>
      </c>
      <c r="N247" s="23">
        <f t="shared" si="36"/>
        <v>1282.3697810000001</v>
      </c>
      <c r="O247" s="18">
        <f t="shared" si="30"/>
        <v>1282.3697810000001</v>
      </c>
    </row>
    <row r="248" spans="2:15">
      <c r="B248" s="12">
        <v>245</v>
      </c>
      <c r="C248" s="13" t="s">
        <v>596</v>
      </c>
      <c r="D248" s="14" t="s">
        <v>597</v>
      </c>
      <c r="E248" s="14" t="s">
        <v>598</v>
      </c>
      <c r="F248" s="15">
        <v>1</v>
      </c>
      <c r="G248" s="16">
        <v>1</v>
      </c>
      <c r="H248" s="17">
        <f>F248 * G248 * 86.025588</f>
        <v>86.025587999999999</v>
      </c>
      <c r="I248" s="17">
        <f>F248 * G248 * 139.99812</f>
        <v>139.99812</v>
      </c>
      <c r="J248" s="17">
        <f t="shared" si="35"/>
        <v>0</v>
      </c>
      <c r="K248" s="17">
        <f>F248 * G248 * 86.19764</f>
        <v>86.197640000000007</v>
      </c>
      <c r="L248" s="17">
        <f>F248 * G248 * 56.980396</f>
        <v>56.980395999999999</v>
      </c>
      <c r="M248" s="17">
        <f t="shared" si="29"/>
        <v>0</v>
      </c>
      <c r="N248" s="23">
        <f t="shared" si="36"/>
        <v>369.20174400000002</v>
      </c>
      <c r="O248" s="18">
        <f t="shared" si="30"/>
        <v>369.20174400000002</v>
      </c>
    </row>
    <row r="249" spans="2:15">
      <c r="B249" s="12">
        <v>246</v>
      </c>
      <c r="C249" s="13" t="s">
        <v>599</v>
      </c>
      <c r="D249" s="14" t="s">
        <v>600</v>
      </c>
      <c r="E249" s="14" t="s">
        <v>601</v>
      </c>
      <c r="F249" s="15">
        <v>1</v>
      </c>
      <c r="G249" s="16">
        <v>1</v>
      </c>
      <c r="H249" s="17">
        <f>F249 * G249 * 136.85889</f>
        <v>136.85889</v>
      </c>
      <c r="I249" s="17">
        <f>F249 * G249 * 3615.77172</f>
        <v>3615.7717200000002</v>
      </c>
      <c r="J249" s="17">
        <f t="shared" si="35"/>
        <v>0</v>
      </c>
      <c r="K249" s="17">
        <f>F249 * G249 * 137.132608</f>
        <v>137.132608</v>
      </c>
      <c r="L249" s="17">
        <f>F249 * G249 * 709.881787</f>
        <v>709.88178700000003</v>
      </c>
      <c r="M249" s="17">
        <f t="shared" si="29"/>
        <v>0</v>
      </c>
      <c r="N249" s="23">
        <f t="shared" si="36"/>
        <v>4599.6450050000003</v>
      </c>
      <c r="O249" s="18">
        <f t="shared" si="30"/>
        <v>4599.6450050000003</v>
      </c>
    </row>
    <row r="250" spans="2:15">
      <c r="B250" s="12">
        <v>247</v>
      </c>
      <c r="C250" s="13" t="s">
        <v>602</v>
      </c>
      <c r="D250" s="14" t="s">
        <v>603</v>
      </c>
      <c r="E250" s="14" t="s">
        <v>601</v>
      </c>
      <c r="F250" s="15">
        <v>1</v>
      </c>
      <c r="G250" s="16">
        <v>1</v>
      </c>
      <c r="H250" s="17">
        <f>F250 * G250 * 70.9709</f>
        <v>70.9709</v>
      </c>
      <c r="I250" s="17">
        <f>F250 * G250 * 0</f>
        <v>0</v>
      </c>
      <c r="J250" s="17">
        <f t="shared" si="35"/>
        <v>0</v>
      </c>
      <c r="K250" s="17">
        <f>F250 * G250 * 71.112842</f>
        <v>71.112842000000001</v>
      </c>
      <c r="L250" s="17">
        <f>F250 * G250 * 25.930283</f>
        <v>25.930282999999999</v>
      </c>
      <c r="M250" s="17">
        <f t="shared" si="29"/>
        <v>0</v>
      </c>
      <c r="N250" s="23">
        <f t="shared" si="36"/>
        <v>168.014025</v>
      </c>
      <c r="O250" s="18">
        <f t="shared" si="30"/>
        <v>168.014025</v>
      </c>
    </row>
    <row r="251" spans="2:15">
      <c r="B251" s="12">
        <v>248</v>
      </c>
      <c r="C251" s="13" t="s">
        <v>604</v>
      </c>
      <c r="D251" s="14" t="s">
        <v>605</v>
      </c>
      <c r="E251" s="14" t="s">
        <v>606</v>
      </c>
      <c r="F251" s="15">
        <v>1</v>
      </c>
      <c r="G251" s="16">
        <v>1</v>
      </c>
      <c r="H251" s="17">
        <f>F251 * G251 * 237.0896</f>
        <v>237.08959999999999</v>
      </c>
      <c r="I251" s="17">
        <f>F251 * G251 * 32332.215013</f>
        <v>32332.215013000001</v>
      </c>
      <c r="J251" s="17">
        <f t="shared" si="35"/>
        <v>0</v>
      </c>
      <c r="K251" s="17">
        <f>F251 * G251 * 237.563779</f>
        <v>237.56377900000001</v>
      </c>
      <c r="L251" s="17">
        <f>F251 * G251 * 5987.253481</f>
        <v>5987.2534809999997</v>
      </c>
      <c r="M251" s="17">
        <f t="shared" si="29"/>
        <v>0</v>
      </c>
      <c r="N251" s="23">
        <f t="shared" si="36"/>
        <v>38794.121872999996</v>
      </c>
      <c r="O251" s="18">
        <f t="shared" si="30"/>
        <v>38794.121872999996</v>
      </c>
    </row>
    <row r="252" spans="2:15">
      <c r="B252" s="12">
        <v>249</v>
      </c>
      <c r="C252" s="13" t="s">
        <v>607</v>
      </c>
      <c r="D252" s="14" t="s">
        <v>608</v>
      </c>
      <c r="E252" s="14" t="s">
        <v>609</v>
      </c>
      <c r="F252" s="15">
        <v>1</v>
      </c>
      <c r="G252" s="16">
        <v>1</v>
      </c>
      <c r="H252" s="17">
        <f>F252 * G252 * 332.37159</f>
        <v>332.37159000000003</v>
      </c>
      <c r="I252" s="17">
        <f>F252 * G252 * 123.18457</f>
        <v>123.18456999999999</v>
      </c>
      <c r="J252" s="17">
        <f t="shared" si="35"/>
        <v>0</v>
      </c>
      <c r="K252" s="17">
        <f>F252 * G252 * 333.036333</f>
        <v>333.03633300000001</v>
      </c>
      <c r="L252" s="17">
        <f>F252 * G252 * 143.91813</f>
        <v>143.91812999999999</v>
      </c>
      <c r="M252" s="17">
        <f t="shared" si="29"/>
        <v>0</v>
      </c>
      <c r="N252" s="23">
        <f t="shared" si="36"/>
        <v>932.51062300000012</v>
      </c>
      <c r="O252" s="18">
        <f t="shared" si="30"/>
        <v>932.51062300000012</v>
      </c>
    </row>
    <row r="253" spans="2:15" ht="25.5">
      <c r="B253" s="12">
        <v>250</v>
      </c>
      <c r="C253" s="13" t="s">
        <v>610</v>
      </c>
      <c r="D253" s="14" t="s">
        <v>611</v>
      </c>
      <c r="E253" s="14" t="s">
        <v>612</v>
      </c>
      <c r="F253" s="15">
        <v>1</v>
      </c>
      <c r="G253" s="16">
        <v>1</v>
      </c>
      <c r="H253" s="17">
        <f>F253 * G253 * 175.96143</f>
        <v>175.96143000000001</v>
      </c>
      <c r="I253" s="17">
        <f>F253 * G253 * 2.293426</f>
        <v>2.2934260000000002</v>
      </c>
      <c r="J253" s="17">
        <f t="shared" si="35"/>
        <v>0</v>
      </c>
      <c r="K253" s="17">
        <f>F253 * G253 * 176.313353</f>
        <v>176.31335300000001</v>
      </c>
      <c r="L253" s="17">
        <f>F253 * G253 * 64.708698</f>
        <v>64.708697999999998</v>
      </c>
      <c r="M253" s="17">
        <f t="shared" si="29"/>
        <v>0</v>
      </c>
      <c r="N253" s="23">
        <f t="shared" si="36"/>
        <v>419.27690700000005</v>
      </c>
      <c r="O253" s="18">
        <f t="shared" si="30"/>
        <v>419.27690700000005</v>
      </c>
    </row>
    <row r="254" spans="2:15" ht="25.5">
      <c r="B254" s="12">
        <v>251</v>
      </c>
      <c r="C254" s="13" t="s">
        <v>613</v>
      </c>
      <c r="D254" s="14" t="s">
        <v>614</v>
      </c>
      <c r="E254" s="14" t="s">
        <v>612</v>
      </c>
      <c r="F254" s="15">
        <v>1</v>
      </c>
      <c r="G254" s="16">
        <v>1</v>
      </c>
      <c r="H254" s="17">
        <f>F254 * G254 * 373.429257</f>
        <v>373.42925700000001</v>
      </c>
      <c r="I254" s="17">
        <f>F254 * G254 * 7751.135039</f>
        <v>7751.1350389999998</v>
      </c>
      <c r="J254" s="17">
        <f t="shared" si="35"/>
        <v>0</v>
      </c>
      <c r="K254" s="17">
        <f>F254 * G254 * 374.176116</f>
        <v>374.17611599999998</v>
      </c>
      <c r="L254" s="17">
        <f>F254 * G254 * 1551.020125</f>
        <v>1551.020125</v>
      </c>
      <c r="M254" s="17">
        <f t="shared" si="29"/>
        <v>0</v>
      </c>
      <c r="N254" s="23">
        <f t="shared" si="36"/>
        <v>10049.760536999998</v>
      </c>
      <c r="O254" s="18">
        <f t="shared" si="30"/>
        <v>10049.760536999998</v>
      </c>
    </row>
    <row r="255" spans="2:15">
      <c r="B255" s="12">
        <v>252</v>
      </c>
      <c r="C255" s="13" t="s">
        <v>615</v>
      </c>
      <c r="D255" s="14" t="s">
        <v>616</v>
      </c>
      <c r="E255" s="14" t="s">
        <v>617</v>
      </c>
      <c r="F255" s="15">
        <v>1</v>
      </c>
      <c r="G255" s="16">
        <v>1</v>
      </c>
      <c r="H255" s="17">
        <f>F255 * G255 * 39102.54</f>
        <v>39102.54</v>
      </c>
      <c r="I255" s="17">
        <f>F255 * G255 * 75195.500898</f>
        <v>75195.500897999998</v>
      </c>
      <c r="J255" s="17">
        <f t="shared" si="35"/>
        <v>0</v>
      </c>
      <c r="K255" s="17">
        <f>F255 * G255 * 39180.74508</f>
        <v>39180.745080000001</v>
      </c>
      <c r="L255" s="17">
        <f>F255 * G255 * 28009.878441</f>
        <v>28009.878441000001</v>
      </c>
      <c r="M255" s="17">
        <f t="shared" si="29"/>
        <v>0</v>
      </c>
      <c r="N255" s="23">
        <f t="shared" si="34"/>
        <v>1814.88664419</v>
      </c>
      <c r="O255" s="18">
        <f t="shared" si="30"/>
        <v>181488.66441900001</v>
      </c>
    </row>
    <row r="256" spans="2:15">
      <c r="B256" s="12">
        <v>253</v>
      </c>
      <c r="C256" s="13" t="s">
        <v>618</v>
      </c>
      <c r="D256" s="14" t="s">
        <v>619</v>
      </c>
      <c r="E256" s="14" t="s">
        <v>620</v>
      </c>
      <c r="F256" s="15">
        <v>1</v>
      </c>
      <c r="G256" s="16">
        <v>1</v>
      </c>
      <c r="H256" s="17">
        <f>F256 * G256 * 237.0896</f>
        <v>237.08959999999999</v>
      </c>
      <c r="I256" s="17">
        <f>F256 * G256 * 7147.273572</f>
        <v>7147.2735720000001</v>
      </c>
      <c r="J256" s="17">
        <f t="shared" si="35"/>
        <v>0</v>
      </c>
      <c r="K256" s="17">
        <f>F256 * G256 * 237.563779</f>
        <v>237.56377900000001</v>
      </c>
      <c r="L256" s="17">
        <f>F256 * G256 * 1391.001668</f>
        <v>1391.0016680000001</v>
      </c>
      <c r="M256" s="17">
        <f t="shared" si="29"/>
        <v>0</v>
      </c>
      <c r="N256" s="23">
        <f>O256/G256/F256</f>
        <v>9012.9286190000003</v>
      </c>
      <c r="O256" s="18">
        <f t="shared" si="30"/>
        <v>9012.9286190000003</v>
      </c>
    </row>
    <row r="257" spans="2:15">
      <c r="B257" s="12">
        <v>254</v>
      </c>
      <c r="C257" s="13" t="s">
        <v>621</v>
      </c>
      <c r="D257" s="14" t="s">
        <v>622</v>
      </c>
      <c r="E257" s="14" t="s">
        <v>620</v>
      </c>
      <c r="F257" s="15">
        <v>1</v>
      </c>
      <c r="G257" s="16">
        <v>1</v>
      </c>
      <c r="H257" s="17">
        <f>F257 * G257 * 94.3679</f>
        <v>94.367900000000006</v>
      </c>
      <c r="I257" s="17">
        <f>F257 * G257 * 25.577958</f>
        <v>25.577957999999999</v>
      </c>
      <c r="J257" s="17">
        <f t="shared" si="35"/>
        <v>0</v>
      </c>
      <c r="K257" s="17">
        <f>F257 * G257 * 94.556636</f>
        <v>94.556635999999997</v>
      </c>
      <c r="L257" s="17">
        <f>F257 * G257 * 39.146705</f>
        <v>39.146704999999997</v>
      </c>
      <c r="M257" s="17">
        <f t="shared" si="29"/>
        <v>0</v>
      </c>
      <c r="N257" s="23">
        <f>O257/G257/F257</f>
        <v>253.64919900000001</v>
      </c>
      <c r="O257" s="18">
        <f t="shared" si="30"/>
        <v>253.64919900000001</v>
      </c>
    </row>
    <row r="258" spans="2:15">
      <c r="B258" s="12">
        <v>255</v>
      </c>
      <c r="C258" s="13" t="s">
        <v>623</v>
      </c>
      <c r="D258" s="14" t="s">
        <v>624</v>
      </c>
      <c r="E258" s="14" t="s">
        <v>625</v>
      </c>
      <c r="F258" s="15">
        <v>1</v>
      </c>
      <c r="G258" s="16">
        <v>1</v>
      </c>
      <c r="H258" s="17">
        <f>F258 * G258 * 977.5635</f>
        <v>977.56349999999998</v>
      </c>
      <c r="I258" s="17">
        <f>F258 * G258 * 0</f>
        <v>0</v>
      </c>
      <c r="J258" s="17">
        <f t="shared" si="35"/>
        <v>0</v>
      </c>
      <c r="K258" s="17">
        <f>F258 * G258 * 979.518626999999</f>
        <v>979.51862699999901</v>
      </c>
      <c r="L258" s="17">
        <f>F258 * G258 * 357.167489</f>
        <v>357.16748899999999</v>
      </c>
      <c r="M258" s="17">
        <f t="shared" si="29"/>
        <v>0</v>
      </c>
      <c r="N258" s="23">
        <f t="shared" si="34"/>
        <v>23.142496159999993</v>
      </c>
      <c r="O258" s="18">
        <f t="shared" si="30"/>
        <v>2314.2496159999992</v>
      </c>
    </row>
    <row r="259" spans="2:15">
      <c r="B259" s="12">
        <v>256</v>
      </c>
      <c r="C259" s="13" t="s">
        <v>626</v>
      </c>
      <c r="D259" s="14" t="s">
        <v>627</v>
      </c>
      <c r="E259" s="14" t="s">
        <v>625</v>
      </c>
      <c r="F259" s="15">
        <v>1</v>
      </c>
      <c r="G259" s="16">
        <v>1</v>
      </c>
      <c r="H259" s="17">
        <f>F259 * G259 * 2346.1524</f>
        <v>2346.1523999999999</v>
      </c>
      <c r="I259" s="17">
        <f>F259 * G259 * 0</f>
        <v>0</v>
      </c>
      <c r="J259" s="17">
        <f t="shared" si="35"/>
        <v>0</v>
      </c>
      <c r="K259" s="17">
        <f>F259 * G259 * 2350.844705</f>
        <v>2350.844705</v>
      </c>
      <c r="L259" s="17">
        <f>F259 * G259 * 857.201972</f>
        <v>857.20197199999996</v>
      </c>
      <c r="M259" s="17">
        <f t="shared" si="29"/>
        <v>0</v>
      </c>
      <c r="N259" s="23">
        <f t="shared" si="34"/>
        <v>55.541990770000005</v>
      </c>
      <c r="O259" s="18">
        <f t="shared" si="30"/>
        <v>5554.1990770000002</v>
      </c>
    </row>
    <row r="260" spans="2:15">
      <c r="B260" s="12">
        <v>257</v>
      </c>
      <c r="C260" s="13" t="s">
        <v>628</v>
      </c>
      <c r="D260" s="14" t="s">
        <v>629</v>
      </c>
      <c r="E260" s="14" t="s">
        <v>630</v>
      </c>
      <c r="F260" s="15">
        <v>1</v>
      </c>
      <c r="G260" s="16">
        <v>1</v>
      </c>
      <c r="H260" s="17">
        <f>F260 * G260 * 37.147413</f>
        <v>37.147413</v>
      </c>
      <c r="I260" s="17">
        <f>F260 * G260 * 41.29284</f>
        <v>41.292839999999998</v>
      </c>
      <c r="J260" s="17">
        <f t="shared" si="35"/>
        <v>0</v>
      </c>
      <c r="K260" s="17">
        <f>F260 * G260 * 37.221708</f>
        <v>37.221708</v>
      </c>
      <c r="L260" s="17">
        <f>F260 * G260 * 21.108308</f>
        <v>21.108308000000001</v>
      </c>
      <c r="M260" s="17">
        <f t="shared" ref="M260:M323" si="37">F260 * G260 * 0</f>
        <v>0</v>
      </c>
      <c r="N260" s="23">
        <f>O260/G260/F260</f>
        <v>136.77026899999998</v>
      </c>
      <c r="O260" s="18">
        <f t="shared" ref="O260:O323" si="38">SUM(H260:M260)</f>
        <v>136.77026899999998</v>
      </c>
    </row>
    <row r="261" spans="2:15" ht="25.5">
      <c r="B261" s="12">
        <v>258</v>
      </c>
      <c r="C261" s="13" t="s">
        <v>631</v>
      </c>
      <c r="D261" s="14" t="s">
        <v>632</v>
      </c>
      <c r="E261" s="14" t="s">
        <v>633</v>
      </c>
      <c r="F261" s="15">
        <v>1</v>
      </c>
      <c r="G261" s="16">
        <v>1</v>
      </c>
      <c r="H261" s="17">
        <f>F261 * G261 * 69.48909</f>
        <v>69.489090000000004</v>
      </c>
      <c r="I261" s="17">
        <f>F261 * G261 * 446.351676</f>
        <v>446.351676</v>
      </c>
      <c r="J261" s="17">
        <f t="shared" si="35"/>
        <v>0</v>
      </c>
      <c r="K261" s="17">
        <f>F261 * G261 * 69.628068</f>
        <v>69.628067999999999</v>
      </c>
      <c r="L261" s="17">
        <f>F261 * G261 * 106.848063</f>
        <v>106.848063</v>
      </c>
      <c r="M261" s="17">
        <f t="shared" si="37"/>
        <v>0</v>
      </c>
      <c r="N261" s="23">
        <f t="shared" ref="N261:N265" si="39">O261/G261/F261</f>
        <v>692.31689700000004</v>
      </c>
      <c r="O261" s="18">
        <f t="shared" si="38"/>
        <v>692.31689700000004</v>
      </c>
    </row>
    <row r="262" spans="2:15">
      <c r="B262" s="12">
        <v>259</v>
      </c>
      <c r="C262" s="13" t="s">
        <v>634</v>
      </c>
      <c r="D262" s="14" t="s">
        <v>635</v>
      </c>
      <c r="E262" s="14" t="s">
        <v>633</v>
      </c>
      <c r="F262" s="15">
        <v>1</v>
      </c>
      <c r="G262" s="16">
        <v>1</v>
      </c>
      <c r="H262" s="17">
        <f>F262 * G262 * 127.35767</f>
        <v>127.35767</v>
      </c>
      <c r="I262" s="17">
        <f>F262 * G262 * 733.383576</f>
        <v>733.38357599999995</v>
      </c>
      <c r="J262" s="17">
        <f t="shared" si="35"/>
        <v>0</v>
      </c>
      <c r="K262" s="17">
        <f>F262 * G262 * 127.612384999999</f>
        <v>127.61238499999899</v>
      </c>
      <c r="L262" s="17">
        <f>F262 * G262 * 180.374536999999</f>
        <v>180.37453699999901</v>
      </c>
      <c r="M262" s="17">
        <f t="shared" si="37"/>
        <v>0</v>
      </c>
      <c r="N262" s="23">
        <f t="shared" si="39"/>
        <v>1168.7281679999978</v>
      </c>
      <c r="O262" s="18">
        <f t="shared" si="38"/>
        <v>1168.7281679999978</v>
      </c>
    </row>
    <row r="263" spans="2:15" ht="25.5">
      <c r="B263" s="12">
        <v>260</v>
      </c>
      <c r="C263" s="13" t="s">
        <v>636</v>
      </c>
      <c r="D263" s="14" t="s">
        <v>637</v>
      </c>
      <c r="E263" s="14" t="s">
        <v>633</v>
      </c>
      <c r="F263" s="15">
        <v>1</v>
      </c>
      <c r="G263" s="16">
        <v>1</v>
      </c>
      <c r="H263" s="17">
        <f>F263 * G263 * 31.282032</f>
        <v>31.282032000000001</v>
      </c>
      <c r="I263" s="17">
        <f>F263 * G263 * 41.97156</f>
        <v>41.971559999999997</v>
      </c>
      <c r="J263" s="17">
        <f t="shared" si="35"/>
        <v>0</v>
      </c>
      <c r="K263" s="17">
        <f>F263 * G263 * 31.344596</f>
        <v>31.344595999999999</v>
      </c>
      <c r="L263" s="17">
        <f>F263 * G263 * 19.089169</f>
        <v>19.089168999999998</v>
      </c>
      <c r="M263" s="17">
        <f t="shared" si="37"/>
        <v>0</v>
      </c>
      <c r="N263" s="23">
        <f t="shared" si="39"/>
        <v>123.68735699999999</v>
      </c>
      <c r="O263" s="18">
        <f t="shared" si="38"/>
        <v>123.68735699999999</v>
      </c>
    </row>
    <row r="264" spans="2:15">
      <c r="B264" s="12">
        <v>261</v>
      </c>
      <c r="C264" s="13" t="s">
        <v>638</v>
      </c>
      <c r="D264" s="14" t="s">
        <v>639</v>
      </c>
      <c r="E264" s="14" t="s">
        <v>633</v>
      </c>
      <c r="F264" s="15">
        <v>1</v>
      </c>
      <c r="G264" s="16">
        <v>1</v>
      </c>
      <c r="H264" s="17">
        <f>F264 * G264 * 87.980715</f>
        <v>87.980715000000004</v>
      </c>
      <c r="I264" s="17">
        <f>F264 * G264 * 340.54776</f>
        <v>340.54775999999998</v>
      </c>
      <c r="J264" s="17">
        <f t="shared" si="35"/>
        <v>0</v>
      </c>
      <c r="K264" s="17">
        <f>F264 * G264 * 88.156677</f>
        <v>88.156677000000002</v>
      </c>
      <c r="L264" s="17">
        <f>F264 * G264 * 94.29504</f>
        <v>94.29504</v>
      </c>
      <c r="M264" s="17">
        <f t="shared" si="37"/>
        <v>0</v>
      </c>
      <c r="N264" s="23">
        <f t="shared" si="39"/>
        <v>610.98019199999999</v>
      </c>
      <c r="O264" s="18">
        <f t="shared" si="38"/>
        <v>610.98019199999999</v>
      </c>
    </row>
    <row r="265" spans="2:15">
      <c r="B265" s="12">
        <v>262</v>
      </c>
      <c r="C265" s="13" t="s">
        <v>640</v>
      </c>
      <c r="D265" s="14" t="s">
        <v>641</v>
      </c>
      <c r="E265" s="14" t="s">
        <v>642</v>
      </c>
      <c r="F265" s="15">
        <v>1</v>
      </c>
      <c r="G265" s="16">
        <v>1</v>
      </c>
      <c r="H265" s="17">
        <f>F265 * G265 * 18.573707</f>
        <v>18.573706999999999</v>
      </c>
      <c r="I265" s="17">
        <f>F265 * G265 * 145.60968</f>
        <v>145.60968</v>
      </c>
      <c r="J265" s="17">
        <f t="shared" si="35"/>
        <v>0</v>
      </c>
      <c r="K265" s="17">
        <f>F265 * G265 * 18.610855</f>
        <v>18.610855000000001</v>
      </c>
      <c r="L265" s="17">
        <f>F265 * G265 * 33.359949</f>
        <v>33.359949</v>
      </c>
      <c r="M265" s="17">
        <f t="shared" si="37"/>
        <v>0</v>
      </c>
      <c r="N265" s="23">
        <f t="shared" si="39"/>
        <v>216.154191</v>
      </c>
      <c r="O265" s="18">
        <f t="shared" si="38"/>
        <v>216.154191</v>
      </c>
    </row>
    <row r="266" spans="2:15">
      <c r="B266" s="12">
        <v>263</v>
      </c>
      <c r="C266" s="13" t="s">
        <v>643</v>
      </c>
      <c r="D266" s="14" t="s">
        <v>644</v>
      </c>
      <c r="E266" s="14" t="s">
        <v>645</v>
      </c>
      <c r="F266" s="15">
        <v>1</v>
      </c>
      <c r="G266" s="16">
        <v>1</v>
      </c>
      <c r="H266" s="17">
        <f>F266 * G266 * 2717.62653</f>
        <v>2717.62653</v>
      </c>
      <c r="I266" s="17">
        <f>F266 * G266 * 1621.656</f>
        <v>1621.6559999999999</v>
      </c>
      <c r="J266" s="17">
        <f t="shared" si="35"/>
        <v>0</v>
      </c>
      <c r="K266" s="17">
        <f>F266 * G266 * 2723.061783</f>
        <v>2723.0617830000001</v>
      </c>
      <c r="L266" s="17">
        <f>F266 * G266 * 1288.877837</f>
        <v>1288.877837</v>
      </c>
      <c r="M266" s="17">
        <f t="shared" si="37"/>
        <v>0</v>
      </c>
      <c r="N266" s="23">
        <f t="shared" si="34"/>
        <v>83.51222150000001</v>
      </c>
      <c r="O266" s="18">
        <f t="shared" si="38"/>
        <v>8351.2221500000014</v>
      </c>
    </row>
    <row r="267" spans="2:15" ht="25.5">
      <c r="B267" s="12">
        <v>264</v>
      </c>
      <c r="C267" s="13" t="s">
        <v>646</v>
      </c>
      <c r="D267" s="14" t="s">
        <v>647</v>
      </c>
      <c r="E267" s="14" t="s">
        <v>648</v>
      </c>
      <c r="F267" s="15">
        <v>1</v>
      </c>
      <c r="G267" s="16">
        <v>1</v>
      </c>
      <c r="H267" s="17">
        <f>F267 * G267 * 13685.889</f>
        <v>13685.888999999999</v>
      </c>
      <c r="I267" s="17">
        <f>F267 * G267 * 86.830104</f>
        <v>86.830104000000006</v>
      </c>
      <c r="J267" s="17">
        <f t="shared" si="35"/>
        <v>0</v>
      </c>
      <c r="K267" s="17">
        <f>F267 * G267 * 13713.260778</f>
        <v>13713.260778</v>
      </c>
      <c r="L267" s="17">
        <f>F267 * G267 * 5016.191328</f>
        <v>5016.1913279999999</v>
      </c>
      <c r="M267" s="17">
        <f t="shared" si="37"/>
        <v>0</v>
      </c>
      <c r="N267" s="23">
        <f t="shared" si="34"/>
        <v>325.0217121</v>
      </c>
      <c r="O267" s="18">
        <f t="shared" si="38"/>
        <v>32502.17121</v>
      </c>
    </row>
    <row r="268" spans="2:15">
      <c r="B268" s="12">
        <v>265</v>
      </c>
      <c r="C268" s="13" t="s">
        <v>649</v>
      </c>
      <c r="D268" s="14" t="s">
        <v>650</v>
      </c>
      <c r="E268" s="14" t="s">
        <v>163</v>
      </c>
      <c r="F268" s="15">
        <v>1</v>
      </c>
      <c r="G268" s="16">
        <v>1</v>
      </c>
      <c r="H268" s="17">
        <f>F268 * G268 * 5004.27824</f>
        <v>5004.2782399999996</v>
      </c>
      <c r="I268" s="17">
        <f>F268 * G268 * 1121.1</f>
        <v>1121.0999999999999</v>
      </c>
      <c r="J268" s="17">
        <f t="shared" si="35"/>
        <v>0</v>
      </c>
      <c r="K268" s="17">
        <f>F268 * G268 * 5014.286796</f>
        <v>5014.2867960000003</v>
      </c>
      <c r="L268" s="17">
        <f>F268 * G268 * 2032.988869</f>
        <v>2032.988869</v>
      </c>
      <c r="M268" s="17">
        <f t="shared" si="37"/>
        <v>0</v>
      </c>
      <c r="N268" s="23">
        <f t="shared" si="34"/>
        <v>131.72653905000001</v>
      </c>
      <c r="O268" s="18">
        <f t="shared" si="38"/>
        <v>13172.653905000001</v>
      </c>
    </row>
    <row r="269" spans="2:15" ht="25.5">
      <c r="B269" s="12">
        <v>266</v>
      </c>
      <c r="C269" s="13" t="s">
        <v>651</v>
      </c>
      <c r="D269" s="14" t="s">
        <v>652</v>
      </c>
      <c r="E269" s="14" t="s">
        <v>653</v>
      </c>
      <c r="F269" s="15">
        <v>1</v>
      </c>
      <c r="G269" s="16">
        <v>1</v>
      </c>
      <c r="H269" s="17">
        <f>F269 * G269 * 26.678061</f>
        <v>26.678061</v>
      </c>
      <c r="I269" s="17">
        <f>F269 * G269 * 426.304176</f>
        <v>426.30417599999998</v>
      </c>
      <c r="J269" s="17">
        <f t="shared" si="35"/>
        <v>0</v>
      </c>
      <c r="K269" s="17">
        <f>F269 * G269 * 26.731417</f>
        <v>26.731417</v>
      </c>
      <c r="L269" s="17">
        <f>F269 * G269 * 87.547742</f>
        <v>87.547742</v>
      </c>
      <c r="M269" s="17">
        <f t="shared" si="37"/>
        <v>0</v>
      </c>
      <c r="N269" s="23">
        <f>O269/G269/F269</f>
        <v>567.26139599999999</v>
      </c>
      <c r="O269" s="18">
        <f t="shared" si="38"/>
        <v>567.26139599999999</v>
      </c>
    </row>
    <row r="270" spans="2:15" ht="25.5">
      <c r="B270" s="12">
        <v>267</v>
      </c>
      <c r="C270" s="13" t="s">
        <v>654</v>
      </c>
      <c r="D270" s="14" t="s">
        <v>655</v>
      </c>
      <c r="E270" s="14" t="s">
        <v>656</v>
      </c>
      <c r="F270" s="15">
        <v>1</v>
      </c>
      <c r="G270" s="16">
        <v>1</v>
      </c>
      <c r="H270" s="17">
        <f>F270 * G270 * 4280.898</f>
        <v>4280.8980000000001</v>
      </c>
      <c r="I270" s="17">
        <f>F270 * G270 * 19533.98839</f>
        <v>19533.988389999999</v>
      </c>
      <c r="J270" s="17">
        <f t="shared" si="35"/>
        <v>0</v>
      </c>
      <c r="K270" s="17">
        <f>F270 * G270 * 4289.459796</f>
        <v>4289.4597960000001</v>
      </c>
      <c r="L270" s="17">
        <f>F270 * G270 * 5129.043179</f>
        <v>5129.0431790000002</v>
      </c>
      <c r="M270" s="17">
        <f t="shared" si="37"/>
        <v>0</v>
      </c>
      <c r="N270" s="23">
        <f t="shared" si="34"/>
        <v>332.33389364999994</v>
      </c>
      <c r="O270" s="18">
        <f t="shared" si="38"/>
        <v>33233.389364999995</v>
      </c>
    </row>
    <row r="271" spans="2:15" ht="25.5">
      <c r="B271" s="12">
        <v>268</v>
      </c>
      <c r="C271" s="13" t="s">
        <v>657</v>
      </c>
      <c r="D271" s="14" t="s">
        <v>658</v>
      </c>
      <c r="E271" s="14" t="s">
        <v>656</v>
      </c>
      <c r="F271" s="15">
        <v>1</v>
      </c>
      <c r="G271" s="16">
        <v>1</v>
      </c>
      <c r="H271" s="17">
        <f>F271 * G271 * 4280.898</f>
        <v>4280.8980000000001</v>
      </c>
      <c r="I271" s="17">
        <f>F271 * G271 * 23871.297557</f>
        <v>23871.297557000002</v>
      </c>
      <c r="J271" s="17">
        <f t="shared" si="35"/>
        <v>0</v>
      </c>
      <c r="K271" s="17">
        <f>F271 * G271 * 4289.459796</f>
        <v>4289.4597960000001</v>
      </c>
      <c r="L271" s="17">
        <f>F271 * G271 * 5920.602101</f>
        <v>5920.6021010000004</v>
      </c>
      <c r="M271" s="17">
        <f t="shared" si="37"/>
        <v>0</v>
      </c>
      <c r="N271" s="23">
        <f t="shared" si="34"/>
        <v>383.62257454000007</v>
      </c>
      <c r="O271" s="18">
        <f t="shared" si="38"/>
        <v>38362.257454000006</v>
      </c>
    </row>
    <row r="272" spans="2:15" ht="25.5">
      <c r="B272" s="12">
        <v>269</v>
      </c>
      <c r="C272" s="13" t="s">
        <v>659</v>
      </c>
      <c r="D272" s="14" t="s">
        <v>660</v>
      </c>
      <c r="E272" s="14" t="s">
        <v>656</v>
      </c>
      <c r="F272" s="15">
        <v>1</v>
      </c>
      <c r="G272" s="16">
        <v>1</v>
      </c>
      <c r="H272" s="17">
        <f>F272 * G272 * 4280.898</f>
        <v>4280.8980000000001</v>
      </c>
      <c r="I272" s="17">
        <f>F272 * G272 * 32835.671373</f>
        <v>32835.671372999997</v>
      </c>
      <c r="J272" s="17">
        <f t="shared" si="35"/>
        <v>0</v>
      </c>
      <c r="K272" s="17">
        <f>F272 * G272 * 4289.459796</f>
        <v>4289.4597960000001</v>
      </c>
      <c r="L272" s="17">
        <f>F272 * G272 * 7556.600324</f>
        <v>7556.600324</v>
      </c>
      <c r="M272" s="17">
        <f t="shared" si="37"/>
        <v>0</v>
      </c>
      <c r="N272" s="23">
        <f t="shared" si="34"/>
        <v>489.62629493000003</v>
      </c>
      <c r="O272" s="18">
        <f t="shared" si="38"/>
        <v>48962.629493</v>
      </c>
    </row>
    <row r="273" spans="2:15">
      <c r="B273" s="12">
        <v>270</v>
      </c>
      <c r="C273" s="13" t="s">
        <v>661</v>
      </c>
      <c r="D273" s="14" t="s">
        <v>662</v>
      </c>
      <c r="E273" s="14" t="s">
        <v>656</v>
      </c>
      <c r="F273" s="15">
        <v>1</v>
      </c>
      <c r="G273" s="16">
        <v>1</v>
      </c>
      <c r="H273" s="17">
        <f>F273 * G273 * 4280.898</f>
        <v>4280.8980000000001</v>
      </c>
      <c r="I273" s="17">
        <f>F273 * G273 * 17831.178823</f>
        <v>17831.178822999998</v>
      </c>
      <c r="J273" s="17">
        <f t="shared" si="35"/>
        <v>0</v>
      </c>
      <c r="K273" s="17">
        <f>F273 * G273 * 4289.459796</f>
        <v>4289.4597960000001</v>
      </c>
      <c r="L273" s="17">
        <f>F273 * G273 * 4818.280433</f>
        <v>4818.2804329999999</v>
      </c>
      <c r="M273" s="17">
        <f t="shared" si="37"/>
        <v>0</v>
      </c>
      <c r="N273" s="23">
        <f t="shared" si="34"/>
        <v>312.19817051999996</v>
      </c>
      <c r="O273" s="18">
        <f t="shared" si="38"/>
        <v>31219.817051999999</v>
      </c>
    </row>
    <row r="274" spans="2:15">
      <c r="B274" s="12">
        <v>271</v>
      </c>
      <c r="C274" s="13" t="s">
        <v>663</v>
      </c>
      <c r="D274" s="14" t="s">
        <v>664</v>
      </c>
      <c r="E274" s="14" t="s">
        <v>656</v>
      </c>
      <c r="F274" s="15">
        <v>1</v>
      </c>
      <c r="G274" s="16">
        <v>1</v>
      </c>
      <c r="H274" s="17">
        <f>F274 * G274 * 4280.898</f>
        <v>4280.8980000000001</v>
      </c>
      <c r="I274" s="17">
        <f>F274 * G274 * 11482.879073</f>
        <v>11482.879073</v>
      </c>
      <c r="J274" s="17">
        <f t="shared" si="35"/>
        <v>0</v>
      </c>
      <c r="K274" s="17">
        <f>F274 * G274 * 4289.459796</f>
        <v>4289.4597960000001</v>
      </c>
      <c r="L274" s="17">
        <f>F274 * G274 * 3659.715728</f>
        <v>3659.7157280000001</v>
      </c>
      <c r="M274" s="17">
        <f t="shared" si="37"/>
        <v>0</v>
      </c>
      <c r="N274" s="23">
        <f t="shared" si="34"/>
        <v>237.12952597</v>
      </c>
      <c r="O274" s="18">
        <f t="shared" si="38"/>
        <v>23712.952597</v>
      </c>
    </row>
    <row r="275" spans="2:15" ht="25.5">
      <c r="B275" s="12">
        <v>272</v>
      </c>
      <c r="C275" s="13" t="s">
        <v>665</v>
      </c>
      <c r="D275" s="14" t="s">
        <v>666</v>
      </c>
      <c r="E275" s="14" t="s">
        <v>667</v>
      </c>
      <c r="F275" s="15">
        <v>1</v>
      </c>
      <c r="G275" s="16">
        <v>1</v>
      </c>
      <c r="H275" s="17">
        <f>F275 * G275 * 184.26474</f>
        <v>184.26473999999999</v>
      </c>
      <c r="I275" s="17">
        <f>F275 * G275 * 770.176748</f>
        <v>770.17674799999998</v>
      </c>
      <c r="J275" s="17">
        <f t="shared" si="35"/>
        <v>0</v>
      </c>
      <c r="K275" s="17">
        <f>F275 * G275 * 184.633269</f>
        <v>184.63326900000001</v>
      </c>
      <c r="L275" s="17">
        <f>F275 * G275 * 207.881143</f>
        <v>207.88114300000001</v>
      </c>
      <c r="M275" s="17">
        <f t="shared" si="37"/>
        <v>0</v>
      </c>
      <c r="N275" s="23">
        <f>O275/G275/F275</f>
        <v>1346.9558999999999</v>
      </c>
      <c r="O275" s="18">
        <f t="shared" si="38"/>
        <v>1346.9558999999999</v>
      </c>
    </row>
    <row r="276" spans="2:15" ht="25.5">
      <c r="B276" s="12">
        <v>273</v>
      </c>
      <c r="C276" s="13" t="s">
        <v>668</v>
      </c>
      <c r="D276" s="14" t="s">
        <v>669</v>
      </c>
      <c r="E276" s="14" t="s">
        <v>670</v>
      </c>
      <c r="F276" s="15">
        <v>1</v>
      </c>
      <c r="G276" s="16">
        <v>1</v>
      </c>
      <c r="H276" s="17">
        <f>F276 * G276 * 297.736275</f>
        <v>297.73627499999998</v>
      </c>
      <c r="I276" s="17">
        <f>F276 * G276 * 86.971578</f>
        <v>86.971577999999994</v>
      </c>
      <c r="J276" s="17">
        <f t="shared" si="35"/>
        <v>0</v>
      </c>
      <c r="K276" s="17">
        <f>F276 * G276 * 298.331747</f>
        <v>298.33174700000001</v>
      </c>
      <c r="L276" s="17">
        <f>F276 * G276 * 124.654727</f>
        <v>124.65472699999999</v>
      </c>
      <c r="M276" s="17">
        <f t="shared" si="37"/>
        <v>0</v>
      </c>
      <c r="N276" s="23">
        <f t="shared" ref="N276:N277" si="40">O276/G276/F276</f>
        <v>807.69432700000004</v>
      </c>
      <c r="O276" s="18">
        <f t="shared" si="38"/>
        <v>807.69432700000004</v>
      </c>
    </row>
    <row r="277" spans="2:15" ht="25.5">
      <c r="B277" s="12">
        <v>274</v>
      </c>
      <c r="C277" s="13" t="s">
        <v>671</v>
      </c>
      <c r="D277" s="14" t="s">
        <v>672</v>
      </c>
      <c r="E277" s="14" t="s">
        <v>670</v>
      </c>
      <c r="F277" s="15">
        <v>1</v>
      </c>
      <c r="G277" s="16">
        <v>1</v>
      </c>
      <c r="H277" s="17">
        <f>F277 * G277 * 53.97654</f>
        <v>53.97654</v>
      </c>
      <c r="I277" s="17">
        <f>F277 * G277 * 1.937051</f>
        <v>1.9370510000000001</v>
      </c>
      <c r="J277" s="17">
        <f t="shared" ref="J277:J304" si="41">F277 * G277 * 0</f>
        <v>0</v>
      </c>
      <c r="K277" s="17">
        <f>F277 * G277 * 54.0844929999999</f>
        <v>54.084492999999902</v>
      </c>
      <c r="L277" s="17">
        <f>F277 * G277 * 20.07465</f>
        <v>20.074649999999998</v>
      </c>
      <c r="M277" s="17">
        <f t="shared" si="37"/>
        <v>0</v>
      </c>
      <c r="N277" s="23">
        <f t="shared" si="40"/>
        <v>130.07273399999988</v>
      </c>
      <c r="O277" s="18">
        <f t="shared" si="38"/>
        <v>130.07273399999988</v>
      </c>
    </row>
    <row r="278" spans="2:15" ht="38.25">
      <c r="B278" s="12">
        <v>275</v>
      </c>
      <c r="C278" s="13" t="s">
        <v>673</v>
      </c>
      <c r="D278" s="14" t="s">
        <v>674</v>
      </c>
      <c r="E278" s="14" t="s">
        <v>675</v>
      </c>
      <c r="F278" s="15">
        <v>1</v>
      </c>
      <c r="G278" s="16">
        <v>1</v>
      </c>
      <c r="H278" s="17">
        <f>F278 * G278 * 6862.49577</f>
        <v>6862.4957700000004</v>
      </c>
      <c r="I278" s="17">
        <f>F278 * G278 * 5129.042434</f>
        <v>5129.042434</v>
      </c>
      <c r="J278" s="17">
        <f t="shared" si="41"/>
        <v>0</v>
      </c>
      <c r="K278" s="17">
        <f>F278 * G278 * 6876.220762</f>
        <v>6876.2207619999999</v>
      </c>
      <c r="L278" s="17">
        <f>F278 * G278 * 3443.366011</f>
        <v>3443.3660110000001</v>
      </c>
      <c r="M278" s="17">
        <f t="shared" si="37"/>
        <v>0</v>
      </c>
      <c r="N278" s="23">
        <f t="shared" si="34"/>
        <v>223.11124977</v>
      </c>
      <c r="O278" s="18">
        <f t="shared" si="38"/>
        <v>22311.124976999999</v>
      </c>
    </row>
    <row r="279" spans="2:15" ht="25.5">
      <c r="B279" s="12">
        <v>276</v>
      </c>
      <c r="C279" s="13" t="s">
        <v>676</v>
      </c>
      <c r="D279" s="14" t="s">
        <v>677</v>
      </c>
      <c r="E279" s="14" t="s">
        <v>678</v>
      </c>
      <c r="F279" s="15">
        <v>1</v>
      </c>
      <c r="G279" s="16">
        <v>1</v>
      </c>
      <c r="H279" s="17">
        <f>F279 * G279 * 8934.9588</f>
        <v>8934.9588000000003</v>
      </c>
      <c r="I279" s="17">
        <f>F279 * G279 * 45534.00226</f>
        <v>45534.002260000001</v>
      </c>
      <c r="J279" s="17">
        <f t="shared" si="41"/>
        <v>0</v>
      </c>
      <c r="K279" s="17">
        <f>F279 * G279 * 8952.828718</f>
        <v>8952.8287180000007</v>
      </c>
      <c r="L279" s="17">
        <f>F279 * G279 * 11574.4766339999</f>
        <v>11574.476633999901</v>
      </c>
      <c r="M279" s="17">
        <f t="shared" si="37"/>
        <v>0</v>
      </c>
      <c r="N279" s="23">
        <f t="shared" si="34"/>
        <v>749.96266411999909</v>
      </c>
      <c r="O279" s="18">
        <f t="shared" si="38"/>
        <v>74996.26641199991</v>
      </c>
    </row>
    <row r="280" spans="2:15" ht="25.5">
      <c r="B280" s="12">
        <v>277</v>
      </c>
      <c r="C280" s="13" t="s">
        <v>679</v>
      </c>
      <c r="D280" s="14" t="s">
        <v>680</v>
      </c>
      <c r="E280" s="14" t="s">
        <v>681</v>
      </c>
      <c r="F280" s="15">
        <v>1</v>
      </c>
      <c r="G280" s="16">
        <v>1</v>
      </c>
      <c r="H280" s="17">
        <f>F280 * G280 * 76.249953</f>
        <v>76.249953000000005</v>
      </c>
      <c r="I280" s="17">
        <f t="shared" ref="I280:I294" si="42">F280 * G280 * 0</f>
        <v>0</v>
      </c>
      <c r="J280" s="17">
        <f t="shared" si="41"/>
        <v>0</v>
      </c>
      <c r="K280" s="17">
        <f>F280 * G280 * 76.402453</f>
        <v>76.402452999999994</v>
      </c>
      <c r="L280" s="17">
        <f>F280 * G280 * 27.859064</f>
        <v>27.859064</v>
      </c>
      <c r="M280" s="17">
        <f t="shared" si="37"/>
        <v>0</v>
      </c>
      <c r="N280" s="23">
        <f>O280/G280/F280/1000</f>
        <v>0.18051146999999998</v>
      </c>
      <c r="O280" s="18">
        <f t="shared" si="38"/>
        <v>180.51146999999997</v>
      </c>
    </row>
    <row r="281" spans="2:15" ht="25.5">
      <c r="B281" s="12">
        <v>278</v>
      </c>
      <c r="C281" s="13" t="s">
        <v>682</v>
      </c>
      <c r="D281" s="14" t="s">
        <v>683</v>
      </c>
      <c r="E281" s="14" t="s">
        <v>681</v>
      </c>
      <c r="F281" s="15">
        <v>1</v>
      </c>
      <c r="G281" s="16">
        <v>1</v>
      </c>
      <c r="H281" s="17">
        <f>F281 * G281 * 608.044497</f>
        <v>608.04449699999998</v>
      </c>
      <c r="I281" s="17">
        <f t="shared" si="42"/>
        <v>0</v>
      </c>
      <c r="J281" s="17">
        <f t="shared" si="41"/>
        <v>0</v>
      </c>
      <c r="K281" s="17">
        <f>F281 * G281 * 609.260586</f>
        <v>609.26058599999999</v>
      </c>
      <c r="L281" s="17">
        <f>F281 * G281 * 222.158177</f>
        <v>222.15817699999999</v>
      </c>
      <c r="M281" s="17">
        <f t="shared" si="37"/>
        <v>0</v>
      </c>
      <c r="N281" s="23">
        <f t="shared" ref="N281:N291" si="43">O281/G281/F281/1000</f>
        <v>1.4394632599999999</v>
      </c>
      <c r="O281" s="18">
        <f t="shared" si="38"/>
        <v>1439.46326</v>
      </c>
    </row>
    <row r="282" spans="2:15" ht="25.5">
      <c r="B282" s="12">
        <v>279</v>
      </c>
      <c r="C282" s="13" t="s">
        <v>684</v>
      </c>
      <c r="D282" s="14" t="s">
        <v>685</v>
      </c>
      <c r="E282" s="14" t="s">
        <v>681</v>
      </c>
      <c r="F282" s="15">
        <v>1</v>
      </c>
      <c r="G282" s="16">
        <v>1</v>
      </c>
      <c r="H282" s="17">
        <f>F282 * G282 * 2158.37552</f>
        <v>2158.3755200000001</v>
      </c>
      <c r="I282" s="17">
        <f t="shared" si="42"/>
        <v>0</v>
      </c>
      <c r="J282" s="17">
        <f t="shared" si="41"/>
        <v>0</v>
      </c>
      <c r="K282" s="17">
        <f>F282 * G282 * 2162.692271</f>
        <v>2162.6922709999999</v>
      </c>
      <c r="L282" s="17">
        <f>F282 * G282 * 788.594872</f>
        <v>788.59487200000001</v>
      </c>
      <c r="M282" s="17">
        <f t="shared" si="37"/>
        <v>0</v>
      </c>
      <c r="N282" s="23">
        <f t="shared" si="43"/>
        <v>5.109662662999999</v>
      </c>
      <c r="O282" s="18">
        <f t="shared" si="38"/>
        <v>5109.6626629999992</v>
      </c>
    </row>
    <row r="283" spans="2:15" ht="25.5">
      <c r="B283" s="12">
        <v>280</v>
      </c>
      <c r="C283" s="13" t="s">
        <v>686</v>
      </c>
      <c r="D283" s="14" t="s">
        <v>687</v>
      </c>
      <c r="E283" s="14" t="s">
        <v>681</v>
      </c>
      <c r="F283" s="15">
        <v>1</v>
      </c>
      <c r="G283" s="16">
        <v>1</v>
      </c>
      <c r="H283" s="17">
        <f>F283 * G283 * 550.606</f>
        <v>550.60599999999999</v>
      </c>
      <c r="I283" s="17">
        <f t="shared" si="42"/>
        <v>0</v>
      </c>
      <c r="J283" s="17">
        <f t="shared" si="41"/>
        <v>0</v>
      </c>
      <c r="K283" s="17">
        <f>F283 * G283 * 551.707212</f>
        <v>551.70721200000003</v>
      </c>
      <c r="L283" s="17">
        <f>F283 * G283 * 201.172161</f>
        <v>201.17216099999999</v>
      </c>
      <c r="M283" s="17">
        <f t="shared" si="37"/>
        <v>0</v>
      </c>
      <c r="N283" s="23">
        <f t="shared" si="43"/>
        <v>1.303485373</v>
      </c>
      <c r="O283" s="18">
        <f t="shared" si="38"/>
        <v>1303.485373</v>
      </c>
    </row>
    <row r="284" spans="2:15">
      <c r="B284" s="12">
        <v>281</v>
      </c>
      <c r="C284" s="13" t="s">
        <v>688</v>
      </c>
      <c r="D284" s="14" t="s">
        <v>689</v>
      </c>
      <c r="E284" s="14" t="s">
        <v>690</v>
      </c>
      <c r="F284" s="15">
        <v>1</v>
      </c>
      <c r="G284" s="16">
        <v>1</v>
      </c>
      <c r="H284" s="17">
        <f>F284 * G284 * 462.50904</f>
        <v>462.50904000000003</v>
      </c>
      <c r="I284" s="17">
        <f t="shared" si="42"/>
        <v>0</v>
      </c>
      <c r="J284" s="17">
        <f t="shared" si="41"/>
        <v>0</v>
      </c>
      <c r="K284" s="17">
        <f>F284 * G284 * 463.434058</f>
        <v>463.43405799999999</v>
      </c>
      <c r="L284" s="17">
        <f>F284 * G284 * 168.984615</f>
        <v>168.98461499999999</v>
      </c>
      <c r="M284" s="17">
        <f t="shared" si="37"/>
        <v>0</v>
      </c>
      <c r="N284" s="23">
        <f t="shared" si="43"/>
        <v>1.0949277130000001</v>
      </c>
      <c r="O284" s="18">
        <f t="shared" si="38"/>
        <v>1094.927713</v>
      </c>
    </row>
    <row r="285" spans="2:15">
      <c r="B285" s="12">
        <v>282</v>
      </c>
      <c r="C285" s="13" t="s">
        <v>691</v>
      </c>
      <c r="D285" s="14" t="s">
        <v>692</v>
      </c>
      <c r="E285" s="14" t="s">
        <v>690</v>
      </c>
      <c r="F285" s="15">
        <v>1</v>
      </c>
      <c r="G285" s="16">
        <v>1</v>
      </c>
      <c r="H285" s="17">
        <f>F285 * G285 * 301.732088</f>
        <v>301.73208799999998</v>
      </c>
      <c r="I285" s="17">
        <f t="shared" si="42"/>
        <v>0</v>
      </c>
      <c r="J285" s="17">
        <f t="shared" si="41"/>
        <v>0</v>
      </c>
      <c r="K285" s="17">
        <f>F285 * G285 * 302.335553</f>
        <v>302.335553</v>
      </c>
      <c r="L285" s="17">
        <f>F285 * G285 * 110.242344</f>
        <v>110.242344</v>
      </c>
      <c r="M285" s="17">
        <f t="shared" si="37"/>
        <v>0</v>
      </c>
      <c r="N285" s="23">
        <f t="shared" si="43"/>
        <v>0.71430998499999998</v>
      </c>
      <c r="O285" s="18">
        <f t="shared" si="38"/>
        <v>714.30998499999998</v>
      </c>
    </row>
    <row r="286" spans="2:15">
      <c r="B286" s="12">
        <v>283</v>
      </c>
      <c r="C286" s="13" t="s">
        <v>693</v>
      </c>
      <c r="D286" s="14" t="s">
        <v>694</v>
      </c>
      <c r="E286" s="14" t="s">
        <v>690</v>
      </c>
      <c r="F286" s="15">
        <v>1</v>
      </c>
      <c r="G286" s="16">
        <v>1</v>
      </c>
      <c r="H286" s="17">
        <f>F286 * G286 * 246.671488</f>
        <v>246.67148800000001</v>
      </c>
      <c r="I286" s="17">
        <f t="shared" si="42"/>
        <v>0</v>
      </c>
      <c r="J286" s="17">
        <f t="shared" si="41"/>
        <v>0</v>
      </c>
      <c r="K286" s="17">
        <f>F286 * G286 * 247.164831</f>
        <v>247.16483099999999</v>
      </c>
      <c r="L286" s="17">
        <f>F286 * G286 * 90.1251279999999</f>
        <v>90.125127999999904</v>
      </c>
      <c r="M286" s="17">
        <f t="shared" si="37"/>
        <v>0</v>
      </c>
      <c r="N286" s="23">
        <f t="shared" si="43"/>
        <v>0.58396144699999986</v>
      </c>
      <c r="O286" s="18">
        <f t="shared" si="38"/>
        <v>583.96144699999991</v>
      </c>
    </row>
    <row r="287" spans="2:15" ht="25.5">
      <c r="B287" s="12">
        <v>284</v>
      </c>
      <c r="C287" s="13" t="s">
        <v>695</v>
      </c>
      <c r="D287" s="14" t="s">
        <v>696</v>
      </c>
      <c r="E287" s="14" t="s">
        <v>681</v>
      </c>
      <c r="F287" s="15">
        <v>1</v>
      </c>
      <c r="G287" s="16">
        <v>1</v>
      </c>
      <c r="H287" s="17">
        <f>F287 * G287 * 880.9696</f>
        <v>880.96960000000001</v>
      </c>
      <c r="I287" s="17">
        <f t="shared" si="42"/>
        <v>0</v>
      </c>
      <c r="J287" s="17">
        <f t="shared" si="41"/>
        <v>0</v>
      </c>
      <c r="K287" s="17">
        <f>F287 * G287 * 882.731539</f>
        <v>882.731539</v>
      </c>
      <c r="L287" s="17">
        <f>F287 * G287 * 321.875457</f>
        <v>321.87545699999998</v>
      </c>
      <c r="M287" s="17">
        <f t="shared" si="37"/>
        <v>0</v>
      </c>
      <c r="N287" s="23">
        <f t="shared" si="43"/>
        <v>2.0855765959999997</v>
      </c>
      <c r="O287" s="18">
        <f t="shared" si="38"/>
        <v>2085.5765959999999</v>
      </c>
    </row>
    <row r="288" spans="2:15" ht="25.5">
      <c r="B288" s="12">
        <v>285</v>
      </c>
      <c r="C288" s="13" t="s">
        <v>697</v>
      </c>
      <c r="D288" s="14" t="s">
        <v>698</v>
      </c>
      <c r="E288" s="14" t="s">
        <v>681</v>
      </c>
      <c r="F288" s="15">
        <v>1</v>
      </c>
      <c r="G288" s="16">
        <v>1</v>
      </c>
      <c r="H288" s="17">
        <f>F288 * G288 * 660.7272</f>
        <v>660.72720000000004</v>
      </c>
      <c r="I288" s="17">
        <f t="shared" si="42"/>
        <v>0</v>
      </c>
      <c r="J288" s="17">
        <f t="shared" si="41"/>
        <v>0</v>
      </c>
      <c r="K288" s="17">
        <f>F288 * G288 * 662.048654</f>
        <v>662.04865400000006</v>
      </c>
      <c r="L288" s="17">
        <f>F288 * G288 * 241.406593</f>
        <v>241.40659299999999</v>
      </c>
      <c r="M288" s="17">
        <f t="shared" si="37"/>
        <v>0</v>
      </c>
      <c r="N288" s="23">
        <f t="shared" si="43"/>
        <v>1.5641824469999999</v>
      </c>
      <c r="O288" s="18">
        <f t="shared" si="38"/>
        <v>1564.1824469999999</v>
      </c>
    </row>
    <row r="289" spans="2:15">
      <c r="B289" s="12">
        <v>286</v>
      </c>
      <c r="C289" s="13" t="s">
        <v>699</v>
      </c>
      <c r="D289" s="14" t="s">
        <v>700</v>
      </c>
      <c r="E289" s="14" t="s">
        <v>701</v>
      </c>
      <c r="F289" s="15">
        <v>1</v>
      </c>
      <c r="G289" s="16">
        <v>1</v>
      </c>
      <c r="H289" s="17">
        <f>F289 * G289 * 660.7272</f>
        <v>660.72720000000004</v>
      </c>
      <c r="I289" s="17">
        <f t="shared" si="42"/>
        <v>0</v>
      </c>
      <c r="J289" s="17">
        <f t="shared" si="41"/>
        <v>0</v>
      </c>
      <c r="K289" s="17">
        <f>F289 * G289 * 662.048654</f>
        <v>662.04865400000006</v>
      </c>
      <c r="L289" s="17">
        <f>F289 * G289 * 241.406593</f>
        <v>241.40659299999999</v>
      </c>
      <c r="M289" s="17">
        <f t="shared" si="37"/>
        <v>0</v>
      </c>
      <c r="N289" s="23">
        <f t="shared" si="43"/>
        <v>1.5641824469999999</v>
      </c>
      <c r="O289" s="18">
        <f t="shared" si="38"/>
        <v>1564.1824469999999</v>
      </c>
    </row>
    <row r="290" spans="2:15">
      <c r="B290" s="12">
        <v>287</v>
      </c>
      <c r="C290" s="13" t="s">
        <v>702</v>
      </c>
      <c r="D290" s="14" t="s">
        <v>703</v>
      </c>
      <c r="E290" s="14" t="s">
        <v>701</v>
      </c>
      <c r="F290" s="15">
        <v>1</v>
      </c>
      <c r="G290" s="16">
        <v>1</v>
      </c>
      <c r="H290" s="17">
        <f>F290 * G290 * 616.67872</f>
        <v>616.67872</v>
      </c>
      <c r="I290" s="17">
        <f t="shared" si="42"/>
        <v>0</v>
      </c>
      <c r="J290" s="17">
        <f t="shared" si="41"/>
        <v>0</v>
      </c>
      <c r="K290" s="17">
        <f>F290 * G290 * 617.912077</f>
        <v>617.91207699999995</v>
      </c>
      <c r="L290" s="17">
        <f>F290 * G290 * 225.312820999999</f>
        <v>225.31282099999899</v>
      </c>
      <c r="M290" s="17">
        <f t="shared" si="37"/>
        <v>0</v>
      </c>
      <c r="N290" s="23">
        <f t="shared" si="43"/>
        <v>1.4599036179999989</v>
      </c>
      <c r="O290" s="18">
        <f t="shared" si="38"/>
        <v>1459.9036179999989</v>
      </c>
    </row>
    <row r="291" spans="2:15" ht="25.5">
      <c r="B291" s="12">
        <v>288</v>
      </c>
      <c r="C291" s="13" t="s">
        <v>704</v>
      </c>
      <c r="D291" s="14" t="s">
        <v>705</v>
      </c>
      <c r="E291" s="14" t="s">
        <v>701</v>
      </c>
      <c r="F291" s="15">
        <v>1</v>
      </c>
      <c r="G291" s="16">
        <v>1</v>
      </c>
      <c r="H291" s="17">
        <f>F291 * G291 * 572.63024</f>
        <v>572.63023999999996</v>
      </c>
      <c r="I291" s="17">
        <f t="shared" si="42"/>
        <v>0</v>
      </c>
      <c r="J291" s="17">
        <f t="shared" si="41"/>
        <v>0</v>
      </c>
      <c r="K291" s="17">
        <f>F291 * G291 * 573.7755</f>
        <v>573.77549999999997</v>
      </c>
      <c r="L291" s="17">
        <f>F291 * G291 * 209.219048</f>
        <v>209.21904799999999</v>
      </c>
      <c r="M291" s="17">
        <f t="shared" si="37"/>
        <v>0</v>
      </c>
      <c r="N291" s="23">
        <f t="shared" si="43"/>
        <v>1.3556247879999999</v>
      </c>
      <c r="O291" s="18">
        <f t="shared" si="38"/>
        <v>1355.6247879999999</v>
      </c>
    </row>
    <row r="292" spans="2:15" ht="25.5">
      <c r="B292" s="12">
        <v>289</v>
      </c>
      <c r="C292" s="13" t="s">
        <v>706</v>
      </c>
      <c r="D292" s="14" t="s">
        <v>707</v>
      </c>
      <c r="E292" s="14" t="s">
        <v>708</v>
      </c>
      <c r="F292" s="15">
        <v>1</v>
      </c>
      <c r="G292" s="16">
        <v>1</v>
      </c>
      <c r="H292" s="17">
        <f>F292 * G292 * 986.685952</f>
        <v>986.68595200000004</v>
      </c>
      <c r="I292" s="17">
        <f t="shared" si="42"/>
        <v>0</v>
      </c>
      <c r="J292" s="17">
        <f t="shared" si="41"/>
        <v>0</v>
      </c>
      <c r="K292" s="17">
        <f>F292 * G292 * 988.659324</f>
        <v>988.65932399999997</v>
      </c>
      <c r="L292" s="17">
        <f>F292 * G292 * 360.500512999999</f>
        <v>360.50051299999899</v>
      </c>
      <c r="M292" s="17">
        <f t="shared" si="37"/>
        <v>0</v>
      </c>
      <c r="N292" s="23">
        <f t="shared" si="34"/>
        <v>23.35845788999999</v>
      </c>
      <c r="O292" s="18">
        <f t="shared" si="38"/>
        <v>2335.8457889999991</v>
      </c>
    </row>
    <row r="293" spans="2:15" ht="25.5">
      <c r="B293" s="12">
        <v>290</v>
      </c>
      <c r="C293" s="13" t="s">
        <v>709</v>
      </c>
      <c r="D293" s="14" t="s">
        <v>710</v>
      </c>
      <c r="E293" s="14" t="s">
        <v>711</v>
      </c>
      <c r="F293" s="15">
        <v>1</v>
      </c>
      <c r="G293" s="16">
        <v>1</v>
      </c>
      <c r="H293" s="17">
        <f>F293 * G293 * 1662</f>
        <v>1662</v>
      </c>
      <c r="I293" s="17">
        <f t="shared" si="42"/>
        <v>0</v>
      </c>
      <c r="J293" s="17">
        <f t="shared" si="41"/>
        <v>0</v>
      </c>
      <c r="K293" s="17">
        <f>F293 * G293 * 1665.324</f>
        <v>1665.3240000000001</v>
      </c>
      <c r="L293" s="17">
        <f>F293 * G293 * 607.23663</f>
        <v>607.23662999999999</v>
      </c>
      <c r="M293" s="17">
        <f t="shared" si="37"/>
        <v>0</v>
      </c>
      <c r="N293" s="23">
        <f t="shared" si="34"/>
        <v>39.3456063</v>
      </c>
      <c r="O293" s="18">
        <f t="shared" si="38"/>
        <v>3934.5606299999999</v>
      </c>
    </row>
    <row r="294" spans="2:15">
      <c r="B294" s="12">
        <v>291</v>
      </c>
      <c r="C294" s="13" t="s">
        <v>712</v>
      </c>
      <c r="D294" s="14" t="s">
        <v>713</v>
      </c>
      <c r="E294" s="14" t="s">
        <v>714</v>
      </c>
      <c r="F294" s="15">
        <v>1</v>
      </c>
      <c r="G294" s="16">
        <v>1</v>
      </c>
      <c r="H294" s="17">
        <f>F294 * G294 * 24.099</f>
        <v>24.099</v>
      </c>
      <c r="I294" s="17">
        <f t="shared" si="42"/>
        <v>0</v>
      </c>
      <c r="J294" s="17">
        <f t="shared" si="41"/>
        <v>0</v>
      </c>
      <c r="K294" s="17">
        <f>F294 * G294 * 24.147198</f>
        <v>24.147197999999999</v>
      </c>
      <c r="L294" s="17">
        <f>F294 * G294 * 8.804931</f>
        <v>8.8049309999999998</v>
      </c>
      <c r="M294" s="17">
        <f t="shared" si="37"/>
        <v>0</v>
      </c>
      <c r="N294" s="23">
        <f t="shared" si="34"/>
        <v>0.57051129</v>
      </c>
      <c r="O294" s="18">
        <f t="shared" si="38"/>
        <v>57.051129000000003</v>
      </c>
    </row>
    <row r="295" spans="2:15" ht="38.25">
      <c r="B295" s="12">
        <v>292</v>
      </c>
      <c r="C295" s="13" t="s">
        <v>715</v>
      </c>
      <c r="D295" s="14" t="s">
        <v>716</v>
      </c>
      <c r="E295" s="14" t="s">
        <v>717</v>
      </c>
      <c r="F295" s="15">
        <v>1</v>
      </c>
      <c r="G295" s="16">
        <v>1</v>
      </c>
      <c r="H295" s="17">
        <f>F295 * G295 * 6886.662</f>
        <v>6886.6620000000003</v>
      </c>
      <c r="I295" s="17">
        <f>F295 * G295 * 745.30825</f>
        <v>745.30825000000004</v>
      </c>
      <c r="J295" s="17">
        <f t="shared" si="41"/>
        <v>0</v>
      </c>
      <c r="K295" s="17">
        <f>F295 * G295 * 6900.435324</f>
        <v>6900.435324</v>
      </c>
      <c r="L295" s="17">
        <f>F295 * G295 * 2652.164017</f>
        <v>2652.1640170000001</v>
      </c>
      <c r="M295" s="17">
        <f t="shared" si="37"/>
        <v>0</v>
      </c>
      <c r="N295" s="23">
        <f t="shared" si="34"/>
        <v>171.84569590999999</v>
      </c>
      <c r="O295" s="18">
        <f t="shared" si="38"/>
        <v>17184.569590999999</v>
      </c>
    </row>
    <row r="296" spans="2:15" ht="25.5">
      <c r="B296" s="12">
        <v>293</v>
      </c>
      <c r="C296" s="13" t="s">
        <v>718</v>
      </c>
      <c r="D296" s="14" t="s">
        <v>719</v>
      </c>
      <c r="E296" s="14" t="s">
        <v>681</v>
      </c>
      <c r="F296" s="15">
        <v>1</v>
      </c>
      <c r="G296" s="16">
        <v>1</v>
      </c>
      <c r="H296" s="17">
        <f>F296 * G296 * 821.15334</f>
        <v>821.15333999999996</v>
      </c>
      <c r="I296" s="17">
        <f>F296 * G296 * 0</f>
        <v>0</v>
      </c>
      <c r="J296" s="17">
        <f t="shared" si="41"/>
        <v>0</v>
      </c>
      <c r="K296" s="17">
        <f>F296 * G296 * 822.795646999999</f>
        <v>822.79564699999901</v>
      </c>
      <c r="L296" s="17">
        <f>F296 * G296 * 300.02069</f>
        <v>300.02069</v>
      </c>
      <c r="M296" s="17">
        <f t="shared" si="37"/>
        <v>0</v>
      </c>
      <c r="N296" s="23">
        <f t="shared" si="34"/>
        <v>19.439696769999991</v>
      </c>
      <c r="O296" s="18">
        <f t="shared" si="38"/>
        <v>1943.9696769999989</v>
      </c>
    </row>
    <row r="297" spans="2:15" ht="25.5">
      <c r="B297" s="12">
        <v>294</v>
      </c>
      <c r="C297" s="13" t="s">
        <v>720</v>
      </c>
      <c r="D297" s="14" t="s">
        <v>721</v>
      </c>
      <c r="E297" s="14" t="s">
        <v>722</v>
      </c>
      <c r="F297" s="15">
        <v>1</v>
      </c>
      <c r="G297" s="16">
        <v>1</v>
      </c>
      <c r="H297" s="17">
        <f>F297 * G297 * 701.91</f>
        <v>701.91</v>
      </c>
      <c r="I297" s="17">
        <f>F297 * G297 * 0</f>
        <v>0</v>
      </c>
      <c r="J297" s="17">
        <f t="shared" si="41"/>
        <v>0</v>
      </c>
      <c r="K297" s="17">
        <f>F297 * G297 * 703.31382</f>
        <v>703.31381999999996</v>
      </c>
      <c r="L297" s="17">
        <f>F297 * G297 * 256.453348</f>
        <v>256.45334800000001</v>
      </c>
      <c r="M297" s="17">
        <f t="shared" si="37"/>
        <v>0</v>
      </c>
      <c r="N297" s="23">
        <f t="shared" si="34"/>
        <v>16.616771679999999</v>
      </c>
      <c r="O297" s="18">
        <f t="shared" si="38"/>
        <v>1661.6771679999999</v>
      </c>
    </row>
    <row r="298" spans="2:15">
      <c r="B298" s="12">
        <v>295</v>
      </c>
      <c r="C298" s="13" t="s">
        <v>723</v>
      </c>
      <c r="D298" s="14" t="s">
        <v>724</v>
      </c>
      <c r="E298" s="14" t="s">
        <v>725</v>
      </c>
      <c r="F298" s="15">
        <v>1</v>
      </c>
      <c r="G298" s="16">
        <v>1</v>
      </c>
      <c r="H298" s="17">
        <f>F298 * G298 * 38.995</f>
        <v>38.994999999999997</v>
      </c>
      <c r="I298" s="17">
        <f>F298 * G298 * 0</f>
        <v>0</v>
      </c>
      <c r="J298" s="17">
        <f t="shared" si="41"/>
        <v>0</v>
      </c>
      <c r="K298" s="17">
        <f>F298 * G298 * 39.07299</f>
        <v>39.072989999999997</v>
      </c>
      <c r="L298" s="17">
        <f>F298 * G298 * 14.247408</f>
        <v>14.247408</v>
      </c>
      <c r="M298" s="17">
        <f t="shared" si="37"/>
        <v>0</v>
      </c>
      <c r="N298" s="23">
        <f>O298/G298/F298</f>
        <v>92.315397999999988</v>
      </c>
      <c r="O298" s="18">
        <f t="shared" si="38"/>
        <v>92.315397999999988</v>
      </c>
    </row>
    <row r="299" spans="2:15">
      <c r="B299" s="12">
        <v>296</v>
      </c>
      <c r="C299" s="13" t="s">
        <v>726</v>
      </c>
      <c r="D299" s="14" t="s">
        <v>727</v>
      </c>
      <c r="E299" s="14" t="s">
        <v>146</v>
      </c>
      <c r="F299" s="15">
        <v>1</v>
      </c>
      <c r="G299" s="16">
        <v>1</v>
      </c>
      <c r="H299" s="17">
        <f>F299 * G299 * 977.5635</f>
        <v>977.56349999999998</v>
      </c>
      <c r="I299" s="17">
        <f>F299 * G299 * 582.58416</f>
        <v>582.58416</v>
      </c>
      <c r="J299" s="17">
        <f t="shared" si="41"/>
        <v>0</v>
      </c>
      <c r="K299" s="17">
        <f>F299 * G299 * 979.518626999999</f>
        <v>979.51862699999901</v>
      </c>
      <c r="L299" s="17">
        <f>F299 * G299 * 463.489098</f>
        <v>463.48909800000001</v>
      </c>
      <c r="M299" s="17">
        <f t="shared" si="37"/>
        <v>0</v>
      </c>
      <c r="N299" s="23">
        <f t="shared" si="34"/>
        <v>30.031553849999991</v>
      </c>
      <c r="O299" s="18">
        <f t="shared" si="38"/>
        <v>3003.1553849999991</v>
      </c>
    </row>
    <row r="300" spans="2:15">
      <c r="B300" s="12">
        <v>297</v>
      </c>
      <c r="C300" s="13" t="s">
        <v>728</v>
      </c>
      <c r="D300" s="14" t="s">
        <v>729</v>
      </c>
      <c r="E300" s="14" t="s">
        <v>146</v>
      </c>
      <c r="F300" s="15">
        <v>1</v>
      </c>
      <c r="G300" s="16">
        <v>1</v>
      </c>
      <c r="H300" s="17">
        <f>F300 * G300 * 391.0254</f>
        <v>391.02539999999999</v>
      </c>
      <c r="I300" s="17">
        <f t="shared" ref="I300:I305" si="44">F300 * G300 * 0</f>
        <v>0</v>
      </c>
      <c r="J300" s="17">
        <f t="shared" si="41"/>
        <v>0</v>
      </c>
      <c r="K300" s="17">
        <f>F300 * G300 * 391.807451</f>
        <v>391.80745100000001</v>
      </c>
      <c r="L300" s="17">
        <f>F300 * G300 * 142.866995</f>
        <v>142.866995</v>
      </c>
      <c r="M300" s="17">
        <f t="shared" si="37"/>
        <v>0</v>
      </c>
      <c r="N300" s="23">
        <f t="shared" si="34"/>
        <v>9.2569984600000002</v>
      </c>
      <c r="O300" s="18">
        <f t="shared" si="38"/>
        <v>925.69984599999998</v>
      </c>
    </row>
    <row r="301" spans="2:15">
      <c r="B301" s="12">
        <v>298</v>
      </c>
      <c r="C301" s="13" t="s">
        <v>730</v>
      </c>
      <c r="D301" s="14" t="s">
        <v>731</v>
      </c>
      <c r="E301" s="14" t="s">
        <v>732</v>
      </c>
      <c r="F301" s="15">
        <v>1</v>
      </c>
      <c r="G301" s="16">
        <v>1</v>
      </c>
      <c r="H301" s="17">
        <f>F301 * G301 * 19.757466</f>
        <v>19.757466000000001</v>
      </c>
      <c r="I301" s="17">
        <f t="shared" si="44"/>
        <v>0</v>
      </c>
      <c r="J301" s="17">
        <f t="shared" si="41"/>
        <v>0</v>
      </c>
      <c r="K301" s="17">
        <f>F301 * G301 * 19.796981</f>
        <v>19.796980999999999</v>
      </c>
      <c r="L301" s="17">
        <f>F301 * G301 * 7.218687</f>
        <v>7.2186870000000001</v>
      </c>
      <c r="M301" s="17">
        <f t="shared" si="37"/>
        <v>0</v>
      </c>
      <c r="N301" s="23">
        <f>O301/G301/F301</f>
        <v>46.773133999999999</v>
      </c>
      <c r="O301" s="18">
        <f t="shared" si="38"/>
        <v>46.773133999999999</v>
      </c>
    </row>
    <row r="302" spans="2:15" ht="25.5">
      <c r="B302" s="12">
        <v>299</v>
      </c>
      <c r="C302" s="13" t="s">
        <v>733</v>
      </c>
      <c r="D302" s="14" t="s">
        <v>734</v>
      </c>
      <c r="E302" s="14" t="s">
        <v>681</v>
      </c>
      <c r="F302" s="15">
        <v>1</v>
      </c>
      <c r="G302" s="16">
        <v>1</v>
      </c>
      <c r="H302" s="17">
        <f>F302 * G302 * 277</f>
        <v>277</v>
      </c>
      <c r="I302" s="17">
        <f t="shared" si="44"/>
        <v>0</v>
      </c>
      <c r="J302" s="17">
        <f t="shared" si="41"/>
        <v>0</v>
      </c>
      <c r="K302" s="17">
        <f>F302 * G302 * 277.554</f>
        <v>277.55399999999997</v>
      </c>
      <c r="L302" s="17">
        <f>F302 * G302 * 101.206105</f>
        <v>101.20610499999999</v>
      </c>
      <c r="M302" s="17">
        <f t="shared" si="37"/>
        <v>0</v>
      </c>
      <c r="N302" s="23">
        <f>O302/G302/F302/1000</f>
        <v>0.65576010499999993</v>
      </c>
      <c r="O302" s="18">
        <f t="shared" si="38"/>
        <v>655.76010499999995</v>
      </c>
    </row>
    <row r="303" spans="2:15" ht="38.25">
      <c r="B303" s="12">
        <v>300</v>
      </c>
      <c r="C303" s="13" t="s">
        <v>735</v>
      </c>
      <c r="D303" s="14" t="s">
        <v>736</v>
      </c>
      <c r="E303" s="14" t="s">
        <v>737</v>
      </c>
      <c r="F303" s="15">
        <v>1</v>
      </c>
      <c r="G303" s="16">
        <v>1</v>
      </c>
      <c r="H303" s="17">
        <f>F303 * G303 * 110.8</f>
        <v>110.8</v>
      </c>
      <c r="I303" s="17">
        <f t="shared" si="44"/>
        <v>0</v>
      </c>
      <c r="J303" s="17">
        <f t="shared" si="41"/>
        <v>0</v>
      </c>
      <c r="K303" s="17">
        <f>F303 * G303 * 111.0216</f>
        <v>111.02160000000001</v>
      </c>
      <c r="L303" s="17">
        <f>F303 * G303 * 40.482442</f>
        <v>40.482441999999999</v>
      </c>
      <c r="M303" s="17">
        <f t="shared" si="37"/>
        <v>0</v>
      </c>
      <c r="N303" s="23">
        <f>O303/G303/F303/1000</f>
        <v>0.26230404199999996</v>
      </c>
      <c r="O303" s="18">
        <f t="shared" si="38"/>
        <v>262.30404199999998</v>
      </c>
    </row>
    <row r="304" spans="2:15">
      <c r="B304" s="12">
        <v>301</v>
      </c>
      <c r="C304" s="13" t="s">
        <v>738</v>
      </c>
      <c r="D304" s="14" t="s">
        <v>739</v>
      </c>
      <c r="E304" s="14" t="s">
        <v>740</v>
      </c>
      <c r="F304" s="15">
        <v>1</v>
      </c>
      <c r="G304" s="16">
        <v>1</v>
      </c>
      <c r="H304" s="17">
        <f>F304 * G304 * 782.0508</f>
        <v>782.05079999999998</v>
      </c>
      <c r="I304" s="17">
        <f t="shared" si="44"/>
        <v>0</v>
      </c>
      <c r="J304" s="17">
        <f t="shared" si="41"/>
        <v>0</v>
      </c>
      <c r="K304" s="17">
        <f>F304 * G304 * 783.614902</f>
        <v>783.61490200000003</v>
      </c>
      <c r="L304" s="17">
        <f>F304 * G304 * 285.733991</f>
        <v>285.733991</v>
      </c>
      <c r="M304" s="17">
        <f t="shared" si="37"/>
        <v>0</v>
      </c>
      <c r="N304" s="23">
        <f>O304/G304/F304</f>
        <v>1851.3996930000001</v>
      </c>
      <c r="O304" s="18">
        <f t="shared" si="38"/>
        <v>1851.3996930000001</v>
      </c>
    </row>
    <row r="305" spans="2:15" ht="25.5">
      <c r="B305" s="12">
        <v>302</v>
      </c>
      <c r="C305" s="13" t="s">
        <v>741</v>
      </c>
      <c r="D305" s="14" t="s">
        <v>742</v>
      </c>
      <c r="E305" s="14" t="s">
        <v>344</v>
      </c>
      <c r="F305" s="15">
        <v>1</v>
      </c>
      <c r="G305" s="16">
        <v>1</v>
      </c>
      <c r="H305" s="17">
        <f>F305 * G305 * 818.96177</f>
        <v>818.96177</v>
      </c>
      <c r="I305" s="17">
        <f t="shared" si="44"/>
        <v>0</v>
      </c>
      <c r="J305" s="17">
        <f>F305 * G305 * 90.8025</f>
        <v>90.802499999999995</v>
      </c>
      <c r="K305" s="17">
        <f>F305 * G305 * 820.599694</f>
        <v>820.599694</v>
      </c>
      <c r="L305" s="17">
        <f>F305 * G305 * 315.791423</f>
        <v>315.79142300000001</v>
      </c>
      <c r="M305" s="17">
        <f t="shared" si="37"/>
        <v>0</v>
      </c>
      <c r="N305" s="23">
        <f t="shared" ref="N303:N366" si="45">O305/G305/F305/100</f>
        <v>20.461553870000003</v>
      </c>
      <c r="O305" s="18">
        <f t="shared" si="38"/>
        <v>2046.1553870000002</v>
      </c>
    </row>
    <row r="306" spans="2:15" ht="25.5">
      <c r="B306" s="12">
        <v>303</v>
      </c>
      <c r="C306" s="13" t="s">
        <v>743</v>
      </c>
      <c r="D306" s="14" t="s">
        <v>744</v>
      </c>
      <c r="E306" s="14" t="s">
        <v>344</v>
      </c>
      <c r="F306" s="15">
        <v>1</v>
      </c>
      <c r="G306" s="16">
        <v>1</v>
      </c>
      <c r="H306" s="17">
        <f>F306 * G306 * 766.846021</f>
        <v>766.84602099999995</v>
      </c>
      <c r="I306" s="17">
        <f>F306 * G306 * 8.596545</f>
        <v>8.5965450000000008</v>
      </c>
      <c r="J306" s="17">
        <f>F306 * G306 * 0</f>
        <v>0</v>
      </c>
      <c r="K306" s="17">
        <f>F306 * G306 * 768.379713</f>
        <v>768.37971300000004</v>
      </c>
      <c r="L306" s="17">
        <f>F306 * G306 * 281.747566</f>
        <v>281.74756600000001</v>
      </c>
      <c r="M306" s="17">
        <f t="shared" si="37"/>
        <v>0</v>
      </c>
      <c r="N306" s="23">
        <f t="shared" si="45"/>
        <v>18.255698450000001</v>
      </c>
      <c r="O306" s="18">
        <f t="shared" si="38"/>
        <v>1825.569845</v>
      </c>
    </row>
    <row r="307" spans="2:15" ht="25.5">
      <c r="B307" s="12">
        <v>304</v>
      </c>
      <c r="C307" s="13" t="s">
        <v>745</v>
      </c>
      <c r="D307" s="14" t="s">
        <v>746</v>
      </c>
      <c r="E307" s="14" t="s">
        <v>344</v>
      </c>
      <c r="F307" s="15">
        <v>1</v>
      </c>
      <c r="G307" s="16">
        <v>1</v>
      </c>
      <c r="H307" s="17">
        <f>F307 * G307 * 322.621301</f>
        <v>322.62130100000002</v>
      </c>
      <c r="I307" s="17">
        <f>F307 * G307 * 0</f>
        <v>0</v>
      </c>
      <c r="J307" s="17">
        <f>F307 * G307 * 90.8025</f>
        <v>90.802499999999995</v>
      </c>
      <c r="K307" s="17">
        <f>F307 * G307 * 323.266544</f>
        <v>323.26654400000001</v>
      </c>
      <c r="L307" s="17">
        <f>F307 * G307 * 134.445988</f>
        <v>134.445988</v>
      </c>
      <c r="M307" s="17">
        <f t="shared" si="37"/>
        <v>0</v>
      </c>
      <c r="N307" s="23">
        <f t="shared" si="45"/>
        <v>8.7113633299999993</v>
      </c>
      <c r="O307" s="18">
        <f t="shared" si="38"/>
        <v>871.13633299999992</v>
      </c>
    </row>
    <row r="308" spans="2:15" ht="25.5">
      <c r="B308" s="12">
        <v>305</v>
      </c>
      <c r="C308" s="13" t="s">
        <v>747</v>
      </c>
      <c r="D308" s="14" t="s">
        <v>748</v>
      </c>
      <c r="E308" s="14" t="s">
        <v>344</v>
      </c>
      <c r="F308" s="15">
        <v>1</v>
      </c>
      <c r="G308" s="16">
        <v>1</v>
      </c>
      <c r="H308" s="17">
        <f>F308 * G308 * 23.461524</f>
        <v>23.461524000000001</v>
      </c>
      <c r="I308" s="17">
        <f>F308 * G308 * 0</f>
        <v>0</v>
      </c>
      <c r="J308" s="17">
        <f t="shared" ref="J308:J339" si="46">F308 * G308 * 0</f>
        <v>0</v>
      </c>
      <c r="K308" s="17">
        <f>F308 * G308 * 23.508447</f>
        <v>23.508447</v>
      </c>
      <c r="L308" s="17">
        <f>F308 * G308 * 8.57202</f>
        <v>8.5720200000000002</v>
      </c>
      <c r="M308" s="17">
        <f t="shared" si="37"/>
        <v>0</v>
      </c>
      <c r="N308" s="23">
        <f t="shared" si="45"/>
        <v>0.55541991000000002</v>
      </c>
      <c r="O308" s="18">
        <f t="shared" si="38"/>
        <v>55.541991000000003</v>
      </c>
    </row>
    <row r="309" spans="2:15" ht="25.5">
      <c r="B309" s="12">
        <v>306</v>
      </c>
      <c r="C309" s="13" t="s">
        <v>749</v>
      </c>
      <c r="D309" s="14" t="s">
        <v>750</v>
      </c>
      <c r="E309" s="14" t="s">
        <v>751</v>
      </c>
      <c r="F309" s="15">
        <v>1</v>
      </c>
      <c r="G309" s="16">
        <v>1</v>
      </c>
      <c r="H309" s="17">
        <f>F309 * G309 * 97.097525</f>
        <v>97.097525000000005</v>
      </c>
      <c r="I309" s="17">
        <f>F309 * G309 * 0</f>
        <v>0</v>
      </c>
      <c r="J309" s="17">
        <f t="shared" si="46"/>
        <v>0</v>
      </c>
      <c r="K309" s="17">
        <f>F309 * G309 * 97.291721</f>
        <v>97.291720999999995</v>
      </c>
      <c r="L309" s="17">
        <f>F309 * G309 * 35.476037</f>
        <v>35.476036999999998</v>
      </c>
      <c r="M309" s="17">
        <f t="shared" si="37"/>
        <v>0</v>
      </c>
      <c r="N309" s="23">
        <f>O309/G309/F309/10</f>
        <v>22.9865283</v>
      </c>
      <c r="O309" s="18">
        <f t="shared" si="38"/>
        <v>229.86528300000001</v>
      </c>
    </row>
    <row r="310" spans="2:15" ht="25.5">
      <c r="B310" s="12">
        <v>307</v>
      </c>
      <c r="C310" s="13" t="s">
        <v>752</v>
      </c>
      <c r="D310" s="14" t="s">
        <v>753</v>
      </c>
      <c r="E310" s="14" t="s">
        <v>423</v>
      </c>
      <c r="F310" s="15">
        <v>1</v>
      </c>
      <c r="G310" s="16">
        <v>1</v>
      </c>
      <c r="H310" s="17">
        <f>F310 * G310 * 9384.6096</f>
        <v>9384.6095999999998</v>
      </c>
      <c r="I310" s="17">
        <f>F310 * G310 * 174.860112</f>
        <v>174.86011199999999</v>
      </c>
      <c r="J310" s="17">
        <f t="shared" si="46"/>
        <v>0</v>
      </c>
      <c r="K310" s="17">
        <f>F310 * G310 * 9403.378819</f>
        <v>9403.3788189999996</v>
      </c>
      <c r="L310" s="17">
        <f>F310 * G310 * 3460.719857</f>
        <v>3460.719857</v>
      </c>
      <c r="M310" s="17">
        <f t="shared" si="37"/>
        <v>0</v>
      </c>
      <c r="N310" s="23">
        <f t="shared" si="45"/>
        <v>224.23568388000001</v>
      </c>
      <c r="O310" s="18">
        <f t="shared" si="38"/>
        <v>22423.568388</v>
      </c>
    </row>
    <row r="311" spans="2:15" ht="25.5">
      <c r="B311" s="12">
        <v>308</v>
      </c>
      <c r="C311" s="13" t="s">
        <v>754</v>
      </c>
      <c r="D311" s="14" t="s">
        <v>755</v>
      </c>
      <c r="E311" s="14" t="s">
        <v>423</v>
      </c>
      <c r="F311" s="15">
        <v>1</v>
      </c>
      <c r="G311" s="16">
        <v>1</v>
      </c>
      <c r="H311" s="17">
        <f>F311 * G311 * 14076.9144</f>
        <v>14076.9144</v>
      </c>
      <c r="I311" s="17">
        <f>F311 * G311 * 276.22958</f>
        <v>276.22958</v>
      </c>
      <c r="J311" s="17">
        <f t="shared" si="46"/>
        <v>0</v>
      </c>
      <c r="K311" s="17">
        <f>F311 * G311 * 14105.068229</f>
        <v>14105.068229</v>
      </c>
      <c r="L311" s="17">
        <f>F311 * G311 * 5193.623728</f>
        <v>5193.6237279999996</v>
      </c>
      <c r="M311" s="17">
        <f t="shared" si="37"/>
        <v>0</v>
      </c>
      <c r="N311" s="23">
        <f t="shared" si="45"/>
        <v>336.51835936999998</v>
      </c>
      <c r="O311" s="18">
        <f t="shared" si="38"/>
        <v>33651.835936999996</v>
      </c>
    </row>
    <row r="312" spans="2:15" ht="25.5">
      <c r="B312" s="12">
        <v>309</v>
      </c>
      <c r="C312" s="13" t="s">
        <v>756</v>
      </c>
      <c r="D312" s="14" t="s">
        <v>757</v>
      </c>
      <c r="E312" s="14" t="s">
        <v>423</v>
      </c>
      <c r="F312" s="15">
        <v>1</v>
      </c>
      <c r="G312" s="16">
        <v>1</v>
      </c>
      <c r="H312" s="17">
        <f>F312 * G312 * 14076.9144</f>
        <v>14076.9144</v>
      </c>
      <c r="I312" s="17">
        <f>F312 * G312 * 436.201885</f>
        <v>436.201885</v>
      </c>
      <c r="J312" s="17">
        <f t="shared" si="46"/>
        <v>0</v>
      </c>
      <c r="K312" s="17">
        <f>F312 * G312 * 14105.068229</f>
        <v>14105.068229</v>
      </c>
      <c r="L312" s="17">
        <f>F312 * G312 * 5222.818674</f>
        <v>5222.8186740000001</v>
      </c>
      <c r="M312" s="17">
        <f t="shared" si="37"/>
        <v>0</v>
      </c>
      <c r="N312" s="23">
        <f t="shared" si="45"/>
        <v>338.41003188000002</v>
      </c>
      <c r="O312" s="18">
        <f t="shared" si="38"/>
        <v>33841.003188000002</v>
      </c>
    </row>
    <row r="313" spans="2:15" ht="25.5">
      <c r="B313" s="12">
        <v>310</v>
      </c>
      <c r="C313" s="13" t="s">
        <v>758</v>
      </c>
      <c r="D313" s="14" t="s">
        <v>759</v>
      </c>
      <c r="E313" s="14" t="s">
        <v>430</v>
      </c>
      <c r="F313" s="15">
        <v>1</v>
      </c>
      <c r="G313" s="16">
        <v>1</v>
      </c>
      <c r="H313" s="17">
        <f>F313 * G313 * 5083.3302</f>
        <v>5083.3302000000003</v>
      </c>
      <c r="I313" s="17">
        <f>F313 * G313 * 130.196688</f>
        <v>130.19668799999999</v>
      </c>
      <c r="J313" s="17">
        <f t="shared" si="46"/>
        <v>0</v>
      </c>
      <c r="K313" s="17">
        <f>F313 * G313 * 5093.49685999999</f>
        <v>5093.4968599999902</v>
      </c>
      <c r="L313" s="17">
        <f>F313 * G313 * 1881.031834</f>
        <v>1881.0318339999999</v>
      </c>
      <c r="M313" s="17">
        <f t="shared" si="37"/>
        <v>0</v>
      </c>
      <c r="N313" s="23">
        <f t="shared" si="45"/>
        <v>121.8805558199999</v>
      </c>
      <c r="O313" s="18">
        <f t="shared" si="38"/>
        <v>12188.05558199999</v>
      </c>
    </row>
    <row r="314" spans="2:15" ht="25.5">
      <c r="B314" s="12">
        <v>311</v>
      </c>
      <c r="C314" s="13" t="s">
        <v>760</v>
      </c>
      <c r="D314" s="14" t="s">
        <v>761</v>
      </c>
      <c r="E314" s="14" t="s">
        <v>430</v>
      </c>
      <c r="F314" s="15">
        <v>1</v>
      </c>
      <c r="G314" s="16">
        <v>1</v>
      </c>
      <c r="H314" s="17">
        <f>F314 * G314 * 7624.9953</f>
        <v>7624.9952999999996</v>
      </c>
      <c r="I314" s="17">
        <f>F314 * G314 * 159.972304</f>
        <v>159.97230400000001</v>
      </c>
      <c r="J314" s="17">
        <f t="shared" si="46"/>
        <v>0</v>
      </c>
      <c r="K314" s="17">
        <f>F314 * G314 * 7640.245291</f>
        <v>7640.2452910000002</v>
      </c>
      <c r="L314" s="17">
        <f>F314 * G314 * 2815.101353</f>
        <v>2815.101353</v>
      </c>
      <c r="M314" s="17">
        <f t="shared" si="37"/>
        <v>0</v>
      </c>
      <c r="N314" s="23">
        <f t="shared" si="45"/>
        <v>182.40314248000001</v>
      </c>
      <c r="O314" s="18">
        <f t="shared" si="38"/>
        <v>18240.314248000002</v>
      </c>
    </row>
    <row r="315" spans="2:15" ht="25.5">
      <c r="B315" s="12">
        <v>312</v>
      </c>
      <c r="C315" s="13" t="s">
        <v>762</v>
      </c>
      <c r="D315" s="14" t="s">
        <v>763</v>
      </c>
      <c r="E315" s="14" t="s">
        <v>430</v>
      </c>
      <c r="F315" s="15">
        <v>1</v>
      </c>
      <c r="G315" s="16">
        <v>1</v>
      </c>
      <c r="H315" s="17">
        <f>F315 * G315 * 7624.9953</f>
        <v>7624.9952999999996</v>
      </c>
      <c r="I315" s="17">
        <f>F315 * G315 * 304.108404</f>
        <v>304.10840400000001</v>
      </c>
      <c r="J315" s="17">
        <f t="shared" si="46"/>
        <v>0</v>
      </c>
      <c r="K315" s="17">
        <f>F315 * G315 * 7640.245291</f>
        <v>7640.2452910000002</v>
      </c>
      <c r="L315" s="17">
        <f>F315 * G315 * 2841.406192</f>
        <v>2841.4061919999999</v>
      </c>
      <c r="M315" s="17">
        <f t="shared" si="37"/>
        <v>0</v>
      </c>
      <c r="N315" s="23">
        <f t="shared" si="45"/>
        <v>184.10755186999998</v>
      </c>
      <c r="O315" s="18">
        <f t="shared" si="38"/>
        <v>18410.755186999999</v>
      </c>
    </row>
    <row r="316" spans="2:15" ht="25.5">
      <c r="B316" s="12">
        <v>313</v>
      </c>
      <c r="C316" s="13" t="s">
        <v>764</v>
      </c>
      <c r="D316" s="14" t="s">
        <v>765</v>
      </c>
      <c r="E316" s="14" t="s">
        <v>766</v>
      </c>
      <c r="F316" s="15">
        <v>1</v>
      </c>
      <c r="G316" s="16">
        <v>1</v>
      </c>
      <c r="H316" s="17">
        <f>F316 * G316 * 31.282032</f>
        <v>31.282032000000001</v>
      </c>
      <c r="I316" s="17">
        <f>F316 * G316 * 49.949681</f>
        <v>49.949680999999998</v>
      </c>
      <c r="J316" s="17">
        <f t="shared" si="46"/>
        <v>0</v>
      </c>
      <c r="K316" s="17">
        <f>F316 * G316 * 31.344596</f>
        <v>31.344595999999999</v>
      </c>
      <c r="L316" s="17">
        <f>F316 * G316 * 20.5451759999999</f>
        <v>20.545175999999898</v>
      </c>
      <c r="M316" s="17">
        <f t="shared" si="37"/>
        <v>0</v>
      </c>
      <c r="N316" s="23">
        <f>O316/G316/F316</f>
        <v>133.12148499999989</v>
      </c>
      <c r="O316" s="18">
        <f t="shared" si="38"/>
        <v>133.12148499999989</v>
      </c>
    </row>
    <row r="317" spans="2:15">
      <c r="B317" s="12">
        <v>314</v>
      </c>
      <c r="C317" s="13" t="s">
        <v>767</v>
      </c>
      <c r="D317" s="14" t="s">
        <v>768</v>
      </c>
      <c r="E317" s="14" t="s">
        <v>769</v>
      </c>
      <c r="F317" s="15">
        <v>1</v>
      </c>
      <c r="G317" s="16">
        <v>1</v>
      </c>
      <c r="H317" s="17">
        <f>F317 * G317 * 858.7</f>
        <v>858.7</v>
      </c>
      <c r="I317" s="17">
        <f>F317 * G317 * 632.157665</f>
        <v>632.15766499999995</v>
      </c>
      <c r="J317" s="17">
        <f t="shared" si="46"/>
        <v>0</v>
      </c>
      <c r="K317" s="17">
        <f>F317 * G317 * 860.4174</f>
        <v>860.41740000000004</v>
      </c>
      <c r="L317" s="17">
        <f>F317 * G317 * 429.107699</f>
        <v>429.10769900000003</v>
      </c>
      <c r="M317" s="17">
        <f t="shared" si="37"/>
        <v>0</v>
      </c>
      <c r="N317" s="23">
        <f t="shared" si="45"/>
        <v>27.803827639999998</v>
      </c>
      <c r="O317" s="18">
        <f t="shared" si="38"/>
        <v>2780.382764</v>
      </c>
    </row>
    <row r="318" spans="2:15" ht="25.5">
      <c r="B318" s="12">
        <v>315</v>
      </c>
      <c r="C318" s="13" t="s">
        <v>770</v>
      </c>
      <c r="D318" s="14" t="s">
        <v>771</v>
      </c>
      <c r="E318" s="14" t="s">
        <v>371</v>
      </c>
      <c r="F318" s="15">
        <v>1</v>
      </c>
      <c r="G318" s="16">
        <v>1</v>
      </c>
      <c r="H318" s="17">
        <f>F318 * G318 * 6133.179</f>
        <v>6133.1790000000001</v>
      </c>
      <c r="I318" s="17">
        <f>F318 * G318 * 15766.804156</f>
        <v>15766.804156</v>
      </c>
      <c r="J318" s="17">
        <f t="shared" si="46"/>
        <v>0</v>
      </c>
      <c r="K318" s="17">
        <f>F318 * G318 * 6145.445358</f>
        <v>6145.4453579999999</v>
      </c>
      <c r="L318" s="17">
        <f>F318 * G318 * 5118.290704</f>
        <v>5118.290704</v>
      </c>
      <c r="M318" s="17">
        <f t="shared" si="37"/>
        <v>0</v>
      </c>
      <c r="N318" s="23">
        <f t="shared" si="45"/>
        <v>331.63719218000006</v>
      </c>
      <c r="O318" s="18">
        <f t="shared" si="38"/>
        <v>33163.719218000006</v>
      </c>
    </row>
    <row r="319" spans="2:15">
      <c r="B319" s="12">
        <v>316</v>
      </c>
      <c r="C319" s="13" t="s">
        <v>772</v>
      </c>
      <c r="D319" s="14" t="s">
        <v>773</v>
      </c>
      <c r="E319" s="14" t="s">
        <v>371</v>
      </c>
      <c r="F319" s="15">
        <v>1</v>
      </c>
      <c r="G319" s="16">
        <v>1</v>
      </c>
      <c r="H319" s="17">
        <f>F319 * G319 * 0</f>
        <v>0</v>
      </c>
      <c r="I319" s="17">
        <f>F319 * G319 * 7884.837285</f>
        <v>7884.8372849999996</v>
      </c>
      <c r="J319" s="17">
        <f t="shared" si="46"/>
        <v>0</v>
      </c>
      <c r="K319" s="17">
        <f>F319 * G319 * 0</f>
        <v>0</v>
      </c>
      <c r="L319" s="17">
        <f>F319 * G319 * 1438.982804</f>
        <v>1438.982804</v>
      </c>
      <c r="M319" s="17">
        <f t="shared" si="37"/>
        <v>0</v>
      </c>
      <c r="N319" s="23">
        <f t="shared" si="45"/>
        <v>93.238200889999987</v>
      </c>
      <c r="O319" s="18">
        <f t="shared" si="38"/>
        <v>9323.8200889999989</v>
      </c>
    </row>
    <row r="320" spans="2:15" ht="25.5">
      <c r="B320" s="12">
        <v>317</v>
      </c>
      <c r="C320" s="13" t="s">
        <v>774</v>
      </c>
      <c r="D320" s="14" t="s">
        <v>775</v>
      </c>
      <c r="E320" s="14" t="s">
        <v>776</v>
      </c>
      <c r="F320" s="15">
        <v>1</v>
      </c>
      <c r="G320" s="16">
        <v>1</v>
      </c>
      <c r="H320" s="17">
        <f>F320 * G320 * 10948.7112</f>
        <v>10948.7112</v>
      </c>
      <c r="I320" s="17">
        <f>F320 * G320 * 0</f>
        <v>0</v>
      </c>
      <c r="J320" s="17">
        <f t="shared" si="46"/>
        <v>0</v>
      </c>
      <c r="K320" s="17">
        <f>F320 * G320 * 10970.608622</f>
        <v>10970.608622</v>
      </c>
      <c r="L320" s="17">
        <f>F320 * G320 * 4000.27586799999</f>
        <v>4000.2758679999902</v>
      </c>
      <c r="M320" s="17">
        <f t="shared" si="37"/>
        <v>0</v>
      </c>
      <c r="N320" s="23">
        <f t="shared" si="45"/>
        <v>259.19595689999989</v>
      </c>
      <c r="O320" s="18">
        <f t="shared" si="38"/>
        <v>25919.595689999987</v>
      </c>
    </row>
    <row r="321" spans="2:15" ht="25.5">
      <c r="B321" s="12">
        <v>318</v>
      </c>
      <c r="C321" s="13" t="s">
        <v>777</v>
      </c>
      <c r="D321" s="14" t="s">
        <v>778</v>
      </c>
      <c r="E321" s="14" t="s">
        <v>366</v>
      </c>
      <c r="F321" s="15">
        <v>1</v>
      </c>
      <c r="G321" s="16">
        <v>1</v>
      </c>
      <c r="H321" s="17">
        <f>F321 * G321 * 3714.7413</f>
        <v>3714.7413000000001</v>
      </c>
      <c r="I321" s="17">
        <f>F321 * G321 * 0</f>
        <v>0</v>
      </c>
      <c r="J321" s="17">
        <f t="shared" si="46"/>
        <v>0</v>
      </c>
      <c r="K321" s="17">
        <f>F321 * G321 * 3722.170783</f>
        <v>3722.170783</v>
      </c>
      <c r="L321" s="17">
        <f>F321 * G321 * 1357.236455</f>
        <v>1357.236455</v>
      </c>
      <c r="M321" s="17">
        <f t="shared" si="37"/>
        <v>0</v>
      </c>
      <c r="N321" s="23">
        <f t="shared" si="45"/>
        <v>87.941485379999989</v>
      </c>
      <c r="O321" s="18">
        <f t="shared" si="38"/>
        <v>8794.1485379999995</v>
      </c>
    </row>
    <row r="322" spans="2:15">
      <c r="B322" s="12">
        <v>319</v>
      </c>
      <c r="C322" s="13" t="s">
        <v>779</v>
      </c>
      <c r="D322" s="14" t="s">
        <v>780</v>
      </c>
      <c r="E322" s="14" t="s">
        <v>423</v>
      </c>
      <c r="F322" s="15">
        <v>1</v>
      </c>
      <c r="G322" s="16">
        <v>1</v>
      </c>
      <c r="H322" s="17">
        <f>F322 * G322 * 9775.635</f>
        <v>9775.6350000000002</v>
      </c>
      <c r="I322" s="17">
        <f>F322 * G322 * 14106.930123</f>
        <v>14106.930123</v>
      </c>
      <c r="J322" s="17">
        <f t="shared" si="46"/>
        <v>0</v>
      </c>
      <c r="K322" s="17">
        <f>F322 * G322 * 9795.18627</f>
        <v>9795.1862700000001</v>
      </c>
      <c r="L322" s="17">
        <f>F322 * G322 * 6146.189629</f>
        <v>6146.1896290000004</v>
      </c>
      <c r="M322" s="17">
        <f t="shared" si="37"/>
        <v>0</v>
      </c>
      <c r="N322" s="23">
        <f t="shared" si="45"/>
        <v>398.23941021999997</v>
      </c>
      <c r="O322" s="18">
        <f t="shared" si="38"/>
        <v>39823.941021999999</v>
      </c>
    </row>
    <row r="323" spans="2:15" ht="25.5">
      <c r="B323" s="12">
        <v>320</v>
      </c>
      <c r="C323" s="13" t="s">
        <v>781</v>
      </c>
      <c r="D323" s="14" t="s">
        <v>782</v>
      </c>
      <c r="E323" s="14" t="s">
        <v>344</v>
      </c>
      <c r="F323" s="15">
        <v>1</v>
      </c>
      <c r="G323" s="16">
        <v>1</v>
      </c>
      <c r="H323" s="17">
        <f>F323 * G323 * 6142.158</f>
        <v>6142.1580000000004</v>
      </c>
      <c r="I323" s="17">
        <f>F323 * G323 * 6641.032897</f>
        <v>6641.032897</v>
      </c>
      <c r="J323" s="17">
        <f t="shared" si="46"/>
        <v>0</v>
      </c>
      <c r="K323" s="17">
        <f>F323 * G323 * 6154.442316</f>
        <v>6154.4423159999997</v>
      </c>
      <c r="L323" s="17">
        <f>F323 * G323 * 3456.118061</f>
        <v>3456.1180610000001</v>
      </c>
      <c r="M323" s="17">
        <f t="shared" si="37"/>
        <v>0</v>
      </c>
      <c r="N323" s="23">
        <f t="shared" si="45"/>
        <v>223.93751274000002</v>
      </c>
      <c r="O323" s="18">
        <f t="shared" si="38"/>
        <v>22393.751274000002</v>
      </c>
    </row>
    <row r="324" spans="2:15" ht="25.5">
      <c r="B324" s="12">
        <v>321</v>
      </c>
      <c r="C324" s="13" t="s">
        <v>783</v>
      </c>
      <c r="D324" s="14" t="s">
        <v>784</v>
      </c>
      <c r="E324" s="14" t="s">
        <v>344</v>
      </c>
      <c r="F324" s="15">
        <v>1</v>
      </c>
      <c r="G324" s="16">
        <v>1</v>
      </c>
      <c r="H324" s="17">
        <f>F324 * G324 * 6142.158</f>
        <v>6142.1580000000004</v>
      </c>
      <c r="I324" s="17">
        <f>F324 * G324 * 8883.459589</f>
        <v>8883.4595890000001</v>
      </c>
      <c r="J324" s="17">
        <f t="shared" si="46"/>
        <v>0</v>
      </c>
      <c r="K324" s="17">
        <f>F324 * G324 * 6154.442316</f>
        <v>6154.4423159999997</v>
      </c>
      <c r="L324" s="17">
        <f>F324 * G324 * 3865.360933</f>
        <v>3865.3609329999999</v>
      </c>
      <c r="M324" s="17">
        <f t="shared" ref="M324:M387" si="47">F324 * G324 * 0</f>
        <v>0</v>
      </c>
      <c r="N324" s="23">
        <f t="shared" si="45"/>
        <v>250.45420838000001</v>
      </c>
      <c r="O324" s="18">
        <f t="shared" ref="O324:O387" si="48">SUM(H324:M324)</f>
        <v>25045.420838000002</v>
      </c>
    </row>
    <row r="325" spans="2:15" ht="25.5">
      <c r="B325" s="12">
        <v>322</v>
      </c>
      <c r="C325" s="13" t="s">
        <v>785</v>
      </c>
      <c r="D325" s="14" t="s">
        <v>786</v>
      </c>
      <c r="E325" s="14" t="s">
        <v>344</v>
      </c>
      <c r="F325" s="15">
        <v>1</v>
      </c>
      <c r="G325" s="16">
        <v>1</v>
      </c>
      <c r="H325" s="17">
        <f>F325 * G325 * 6142.158</f>
        <v>6142.1580000000004</v>
      </c>
      <c r="I325" s="17">
        <f>F325 * G325 * 12592.08835</f>
        <v>12592.08835</v>
      </c>
      <c r="J325" s="17">
        <f t="shared" si="46"/>
        <v>0</v>
      </c>
      <c r="K325" s="17">
        <f>F325 * G325 * 6154.442316</f>
        <v>6154.4423159999997</v>
      </c>
      <c r="L325" s="17">
        <f>F325 * G325 * 4542.185682</f>
        <v>4542.1856820000003</v>
      </c>
      <c r="M325" s="17">
        <f t="shared" si="47"/>
        <v>0</v>
      </c>
      <c r="N325" s="23">
        <f t="shared" si="45"/>
        <v>294.30874348000003</v>
      </c>
      <c r="O325" s="18">
        <f t="shared" si="48"/>
        <v>29430.874348000001</v>
      </c>
    </row>
    <row r="326" spans="2:15" ht="38.25">
      <c r="B326" s="12">
        <v>323</v>
      </c>
      <c r="C326" s="13" t="s">
        <v>787</v>
      </c>
      <c r="D326" s="14" t="s">
        <v>788</v>
      </c>
      <c r="E326" s="14" t="s">
        <v>789</v>
      </c>
      <c r="F326" s="15">
        <v>1</v>
      </c>
      <c r="G326" s="16">
        <v>1</v>
      </c>
      <c r="H326" s="17">
        <f>F326 * G326 * 22.02424</f>
        <v>22.024239999999999</v>
      </c>
      <c r="I326" s="17">
        <f t="shared" ref="I326:I354" si="49">F326 * G326 * 0</f>
        <v>0</v>
      </c>
      <c r="J326" s="17">
        <f t="shared" si="46"/>
        <v>0</v>
      </c>
      <c r="K326" s="17">
        <f>F326 * G326 * 22.068288</f>
        <v>22.068287999999999</v>
      </c>
      <c r="L326" s="17">
        <f>F326 * G326 * 8.046887</f>
        <v>8.0468869999999999</v>
      </c>
      <c r="M326" s="17">
        <f t="shared" si="47"/>
        <v>0</v>
      </c>
      <c r="N326" s="23">
        <f>O326/G326/F326</f>
        <v>52.139415</v>
      </c>
      <c r="O326" s="18">
        <f t="shared" si="48"/>
        <v>52.139415</v>
      </c>
    </row>
    <row r="327" spans="2:15" ht="25.5">
      <c r="B327" s="12">
        <v>324</v>
      </c>
      <c r="C327" s="13" t="s">
        <v>790</v>
      </c>
      <c r="D327" s="14" t="s">
        <v>791</v>
      </c>
      <c r="E327" s="14" t="s">
        <v>789</v>
      </c>
      <c r="F327" s="15">
        <v>1</v>
      </c>
      <c r="G327" s="16">
        <v>1</v>
      </c>
      <c r="H327" s="17">
        <f>F327 * G327 * 19.55127</f>
        <v>19.551269999999999</v>
      </c>
      <c r="I327" s="17">
        <f t="shared" si="49"/>
        <v>0</v>
      </c>
      <c r="J327" s="17">
        <f t="shared" si="46"/>
        <v>0</v>
      </c>
      <c r="K327" s="17">
        <f>F327 * G327 * 19.590373</f>
        <v>19.590373</v>
      </c>
      <c r="L327" s="17">
        <f>F327 * G327 * 7.14335</f>
        <v>7.1433499999999999</v>
      </c>
      <c r="M327" s="17">
        <f t="shared" si="47"/>
        <v>0</v>
      </c>
      <c r="N327" s="23">
        <f t="shared" ref="N327:N346" si="50">O327/G327/F327</f>
        <v>46.284993</v>
      </c>
      <c r="O327" s="18">
        <f t="shared" si="48"/>
        <v>46.284993</v>
      </c>
    </row>
    <row r="328" spans="2:15" ht="38.25">
      <c r="B328" s="12">
        <v>325</v>
      </c>
      <c r="C328" s="13" t="s">
        <v>792</v>
      </c>
      <c r="D328" s="14" t="s">
        <v>793</v>
      </c>
      <c r="E328" s="14" t="s">
        <v>789</v>
      </c>
      <c r="F328" s="15">
        <v>1</v>
      </c>
      <c r="G328" s="16">
        <v>1</v>
      </c>
      <c r="H328" s="17">
        <f>F328 * G328 * 58.65381</f>
        <v>58.65381</v>
      </c>
      <c r="I328" s="17">
        <f t="shared" si="49"/>
        <v>0</v>
      </c>
      <c r="J328" s="17">
        <f t="shared" si="46"/>
        <v>0</v>
      </c>
      <c r="K328" s="17">
        <f>F328 * G328 * 58.771118</f>
        <v>58.771118000000001</v>
      </c>
      <c r="L328" s="17">
        <f>F328 * G328 * 21.43005</f>
        <v>21.430050000000001</v>
      </c>
      <c r="M328" s="17">
        <f t="shared" si="47"/>
        <v>0</v>
      </c>
      <c r="N328" s="23">
        <f t="shared" si="50"/>
        <v>138.85497799999999</v>
      </c>
      <c r="O328" s="18">
        <f t="shared" si="48"/>
        <v>138.85497799999999</v>
      </c>
    </row>
    <row r="329" spans="2:15" ht="38.25">
      <c r="B329" s="12">
        <v>326</v>
      </c>
      <c r="C329" s="13" t="s">
        <v>794</v>
      </c>
      <c r="D329" s="14" t="s">
        <v>795</v>
      </c>
      <c r="E329" s="14" t="s">
        <v>796</v>
      </c>
      <c r="F329" s="15">
        <v>1</v>
      </c>
      <c r="G329" s="16">
        <v>1</v>
      </c>
      <c r="H329" s="17">
        <f>F329 * G329 * 116.728472</f>
        <v>116.728472</v>
      </c>
      <c r="I329" s="17">
        <f t="shared" si="49"/>
        <v>0</v>
      </c>
      <c r="J329" s="17">
        <f t="shared" si="46"/>
        <v>0</v>
      </c>
      <c r="K329" s="17">
        <f>F329 * G329 * 116.961929</f>
        <v>116.961929</v>
      </c>
      <c r="L329" s="17">
        <f>F329 * G329 * 42.648498</f>
        <v>42.648497999999996</v>
      </c>
      <c r="M329" s="17">
        <f t="shared" si="47"/>
        <v>0</v>
      </c>
      <c r="N329" s="23">
        <f t="shared" si="50"/>
        <v>276.33889900000003</v>
      </c>
      <c r="O329" s="18">
        <f t="shared" si="48"/>
        <v>276.33889900000003</v>
      </c>
    </row>
    <row r="330" spans="2:15" ht="25.5">
      <c r="B330" s="12">
        <v>327</v>
      </c>
      <c r="C330" s="13" t="s">
        <v>797</v>
      </c>
      <c r="D330" s="14" t="s">
        <v>798</v>
      </c>
      <c r="E330" s="14" t="s">
        <v>796</v>
      </c>
      <c r="F330" s="15">
        <v>1</v>
      </c>
      <c r="G330" s="16">
        <v>1</v>
      </c>
      <c r="H330" s="17">
        <f>F330 * G330 * 220.2424</f>
        <v>220.2424</v>
      </c>
      <c r="I330" s="17">
        <f t="shared" si="49"/>
        <v>0</v>
      </c>
      <c r="J330" s="17">
        <f t="shared" si="46"/>
        <v>0</v>
      </c>
      <c r="K330" s="17">
        <f>F330 * G330 * 220.682885</f>
        <v>220.682885</v>
      </c>
      <c r="L330" s="17">
        <f>F330 * G330 * 80.468864</f>
        <v>80.468863999999996</v>
      </c>
      <c r="M330" s="17">
        <f t="shared" si="47"/>
        <v>0</v>
      </c>
      <c r="N330" s="23">
        <f t="shared" si="50"/>
        <v>521.39414899999997</v>
      </c>
      <c r="O330" s="18">
        <f t="shared" si="48"/>
        <v>521.39414899999997</v>
      </c>
    </row>
    <row r="331" spans="2:15" ht="25.5">
      <c r="B331" s="12">
        <v>328</v>
      </c>
      <c r="C331" s="13" t="s">
        <v>799</v>
      </c>
      <c r="D331" s="14" t="s">
        <v>800</v>
      </c>
      <c r="E331" s="14" t="s">
        <v>789</v>
      </c>
      <c r="F331" s="15">
        <v>1</v>
      </c>
      <c r="G331" s="16">
        <v>1</v>
      </c>
      <c r="H331" s="17">
        <f>F331 * G331 * 44.04848</f>
        <v>44.048479999999998</v>
      </c>
      <c r="I331" s="17">
        <f t="shared" si="49"/>
        <v>0</v>
      </c>
      <c r="J331" s="17">
        <f t="shared" si="46"/>
        <v>0</v>
      </c>
      <c r="K331" s="17">
        <f>F331 * G331 * 44.136577</f>
        <v>44.136577000000003</v>
      </c>
      <c r="L331" s="17">
        <f>F331 * G331 * 16.093773</f>
        <v>16.093772999999999</v>
      </c>
      <c r="M331" s="17">
        <f t="shared" si="47"/>
        <v>0</v>
      </c>
      <c r="N331" s="23">
        <f t="shared" si="50"/>
        <v>104.27883</v>
      </c>
      <c r="O331" s="18">
        <f t="shared" si="48"/>
        <v>104.27883</v>
      </c>
    </row>
    <row r="332" spans="2:15" ht="25.5">
      <c r="B332" s="12">
        <v>329</v>
      </c>
      <c r="C332" s="13" t="s">
        <v>801</v>
      </c>
      <c r="D332" s="14" t="s">
        <v>802</v>
      </c>
      <c r="E332" s="14" t="s">
        <v>789</v>
      </c>
      <c r="F332" s="15">
        <v>1</v>
      </c>
      <c r="G332" s="16">
        <v>1</v>
      </c>
      <c r="H332" s="17">
        <f>F332 * G332 * 158.574528</f>
        <v>158.57452799999999</v>
      </c>
      <c r="I332" s="17">
        <f t="shared" si="49"/>
        <v>0</v>
      </c>
      <c r="J332" s="17">
        <f t="shared" si="46"/>
        <v>0</v>
      </c>
      <c r="K332" s="17">
        <f>F332 * G332 * 158.891677</f>
        <v>158.89167699999999</v>
      </c>
      <c r="L332" s="17">
        <f>F332 * G332 * 57.937582</f>
        <v>57.937581999999999</v>
      </c>
      <c r="M332" s="17">
        <f t="shared" si="47"/>
        <v>0</v>
      </c>
      <c r="N332" s="23">
        <f t="shared" si="50"/>
        <v>375.40378699999997</v>
      </c>
      <c r="O332" s="18">
        <f t="shared" si="48"/>
        <v>375.40378699999997</v>
      </c>
    </row>
    <row r="333" spans="2:15" ht="25.5">
      <c r="B333" s="12">
        <v>330</v>
      </c>
      <c r="C333" s="13" t="s">
        <v>803</v>
      </c>
      <c r="D333" s="14" t="s">
        <v>804</v>
      </c>
      <c r="E333" s="14" t="s">
        <v>789</v>
      </c>
      <c r="F333" s="15">
        <v>1</v>
      </c>
      <c r="G333" s="16">
        <v>1</v>
      </c>
      <c r="H333" s="17">
        <f>F333 * G333 * 22.02424</f>
        <v>22.024239999999999</v>
      </c>
      <c r="I333" s="17">
        <f t="shared" si="49"/>
        <v>0</v>
      </c>
      <c r="J333" s="17">
        <f t="shared" si="46"/>
        <v>0</v>
      </c>
      <c r="K333" s="17">
        <f>F333 * G333 * 22.068288</f>
        <v>22.068287999999999</v>
      </c>
      <c r="L333" s="17">
        <f>F333 * G333 * 8.046887</f>
        <v>8.0468869999999999</v>
      </c>
      <c r="M333" s="17">
        <f t="shared" si="47"/>
        <v>0</v>
      </c>
      <c r="N333" s="23">
        <f t="shared" si="50"/>
        <v>52.139415</v>
      </c>
      <c r="O333" s="18">
        <f t="shared" si="48"/>
        <v>52.139415</v>
      </c>
    </row>
    <row r="334" spans="2:15" ht="25.5">
      <c r="B334" s="12">
        <v>331</v>
      </c>
      <c r="C334" s="13" t="s">
        <v>805</v>
      </c>
      <c r="D334" s="14" t="s">
        <v>806</v>
      </c>
      <c r="E334" s="14" t="s">
        <v>807</v>
      </c>
      <c r="F334" s="15">
        <v>1</v>
      </c>
      <c r="G334" s="16">
        <v>1</v>
      </c>
      <c r="H334" s="17">
        <f>F334 * G334 * 22.02424</f>
        <v>22.024239999999999</v>
      </c>
      <c r="I334" s="17">
        <f t="shared" si="49"/>
        <v>0</v>
      </c>
      <c r="J334" s="17">
        <f t="shared" si="46"/>
        <v>0</v>
      </c>
      <c r="K334" s="17">
        <f>F334 * G334 * 22.068288</f>
        <v>22.068287999999999</v>
      </c>
      <c r="L334" s="17">
        <f>F334 * G334 * 8.046887</f>
        <v>8.0468869999999999</v>
      </c>
      <c r="M334" s="17">
        <f t="shared" si="47"/>
        <v>0</v>
      </c>
      <c r="N334" s="23">
        <f t="shared" si="50"/>
        <v>52.139415</v>
      </c>
      <c r="O334" s="18">
        <f t="shared" si="48"/>
        <v>52.139415</v>
      </c>
    </row>
    <row r="335" spans="2:15" ht="25.5">
      <c r="B335" s="12">
        <v>332</v>
      </c>
      <c r="C335" s="13" t="s">
        <v>808</v>
      </c>
      <c r="D335" s="14" t="s">
        <v>809</v>
      </c>
      <c r="E335" s="14" t="s">
        <v>807</v>
      </c>
      <c r="F335" s="15">
        <v>1</v>
      </c>
      <c r="G335" s="16">
        <v>1</v>
      </c>
      <c r="H335" s="17">
        <f>F335 * G335 * 19.55127</f>
        <v>19.551269999999999</v>
      </c>
      <c r="I335" s="17">
        <f t="shared" si="49"/>
        <v>0</v>
      </c>
      <c r="J335" s="17">
        <f t="shared" si="46"/>
        <v>0</v>
      </c>
      <c r="K335" s="17">
        <f>F335 * G335 * 19.590373</f>
        <v>19.590373</v>
      </c>
      <c r="L335" s="17">
        <f>F335 * G335 * 7.14335</f>
        <v>7.1433499999999999</v>
      </c>
      <c r="M335" s="17">
        <f t="shared" si="47"/>
        <v>0</v>
      </c>
      <c r="N335" s="23">
        <f t="shared" si="50"/>
        <v>46.284993</v>
      </c>
      <c r="O335" s="18">
        <f t="shared" si="48"/>
        <v>46.284993</v>
      </c>
    </row>
    <row r="336" spans="2:15" ht="38.25">
      <c r="B336" s="12">
        <v>333</v>
      </c>
      <c r="C336" s="13" t="s">
        <v>810</v>
      </c>
      <c r="D336" s="14" t="s">
        <v>811</v>
      </c>
      <c r="E336" s="14" t="s">
        <v>807</v>
      </c>
      <c r="F336" s="15">
        <v>1</v>
      </c>
      <c r="G336" s="16">
        <v>1</v>
      </c>
      <c r="H336" s="17">
        <f>F336 * G336 * 58.65381</f>
        <v>58.65381</v>
      </c>
      <c r="I336" s="17">
        <f t="shared" si="49"/>
        <v>0</v>
      </c>
      <c r="J336" s="17">
        <f t="shared" si="46"/>
        <v>0</v>
      </c>
      <c r="K336" s="17">
        <f>F336 * G336 * 58.771118</f>
        <v>58.771118000000001</v>
      </c>
      <c r="L336" s="17">
        <f>F336 * G336 * 21.43005</f>
        <v>21.430050000000001</v>
      </c>
      <c r="M336" s="17">
        <f t="shared" si="47"/>
        <v>0</v>
      </c>
      <c r="N336" s="23">
        <f t="shared" si="50"/>
        <v>138.85497799999999</v>
      </c>
      <c r="O336" s="18">
        <f t="shared" si="48"/>
        <v>138.85497799999999</v>
      </c>
    </row>
    <row r="337" spans="2:15" ht="38.25">
      <c r="B337" s="12">
        <v>334</v>
      </c>
      <c r="C337" s="13" t="s">
        <v>812</v>
      </c>
      <c r="D337" s="14" t="s">
        <v>813</v>
      </c>
      <c r="E337" s="14" t="s">
        <v>796</v>
      </c>
      <c r="F337" s="15">
        <v>1</v>
      </c>
      <c r="G337" s="16">
        <v>1</v>
      </c>
      <c r="H337" s="17">
        <f>F337 * G337 * 116.728472</f>
        <v>116.728472</v>
      </c>
      <c r="I337" s="17">
        <f t="shared" si="49"/>
        <v>0</v>
      </c>
      <c r="J337" s="17">
        <f t="shared" si="46"/>
        <v>0</v>
      </c>
      <c r="K337" s="17">
        <f>F337 * G337 * 116.961929</f>
        <v>116.961929</v>
      </c>
      <c r="L337" s="17">
        <f>F337 * G337 * 42.648498</f>
        <v>42.648497999999996</v>
      </c>
      <c r="M337" s="17">
        <f t="shared" si="47"/>
        <v>0</v>
      </c>
      <c r="N337" s="23">
        <f t="shared" si="50"/>
        <v>276.33889900000003</v>
      </c>
      <c r="O337" s="18">
        <f t="shared" si="48"/>
        <v>276.33889900000003</v>
      </c>
    </row>
    <row r="338" spans="2:15" ht="25.5">
      <c r="B338" s="12">
        <v>335</v>
      </c>
      <c r="C338" s="13" t="s">
        <v>814</v>
      </c>
      <c r="D338" s="14" t="s">
        <v>815</v>
      </c>
      <c r="E338" s="14" t="s">
        <v>796</v>
      </c>
      <c r="F338" s="15">
        <v>1</v>
      </c>
      <c r="G338" s="16">
        <v>1</v>
      </c>
      <c r="H338" s="17">
        <f>F338 * G338 * 220.2424</f>
        <v>220.2424</v>
      </c>
      <c r="I338" s="17">
        <f t="shared" si="49"/>
        <v>0</v>
      </c>
      <c r="J338" s="17">
        <f t="shared" si="46"/>
        <v>0</v>
      </c>
      <c r="K338" s="17">
        <f>F338 * G338 * 220.682885</f>
        <v>220.682885</v>
      </c>
      <c r="L338" s="17">
        <f>F338 * G338 * 80.468864</f>
        <v>80.468863999999996</v>
      </c>
      <c r="M338" s="17">
        <f t="shared" si="47"/>
        <v>0</v>
      </c>
      <c r="N338" s="23">
        <f t="shared" si="50"/>
        <v>521.39414899999997</v>
      </c>
      <c r="O338" s="18">
        <f t="shared" si="48"/>
        <v>521.39414899999997</v>
      </c>
    </row>
    <row r="339" spans="2:15" ht="25.5">
      <c r="B339" s="12">
        <v>336</v>
      </c>
      <c r="C339" s="13" t="s">
        <v>816</v>
      </c>
      <c r="D339" s="14" t="s">
        <v>817</v>
      </c>
      <c r="E339" s="14" t="s">
        <v>807</v>
      </c>
      <c r="F339" s="15">
        <v>1</v>
      </c>
      <c r="G339" s="16">
        <v>1</v>
      </c>
      <c r="H339" s="17">
        <f>F339 * G339 * 44.04848</f>
        <v>44.048479999999998</v>
      </c>
      <c r="I339" s="17">
        <f t="shared" si="49"/>
        <v>0</v>
      </c>
      <c r="J339" s="17">
        <f t="shared" si="46"/>
        <v>0</v>
      </c>
      <c r="K339" s="17">
        <f>F339 * G339 * 44.136577</f>
        <v>44.136577000000003</v>
      </c>
      <c r="L339" s="17">
        <f>F339 * G339 * 16.093773</f>
        <v>16.093772999999999</v>
      </c>
      <c r="M339" s="17">
        <f t="shared" si="47"/>
        <v>0</v>
      </c>
      <c r="N339" s="23">
        <f t="shared" si="50"/>
        <v>104.27883</v>
      </c>
      <c r="O339" s="18">
        <f t="shared" si="48"/>
        <v>104.27883</v>
      </c>
    </row>
    <row r="340" spans="2:15" ht="38.25">
      <c r="B340" s="12">
        <v>337</v>
      </c>
      <c r="C340" s="13" t="s">
        <v>818</v>
      </c>
      <c r="D340" s="14" t="s">
        <v>819</v>
      </c>
      <c r="E340" s="14" t="s">
        <v>807</v>
      </c>
      <c r="F340" s="15">
        <v>1</v>
      </c>
      <c r="G340" s="16">
        <v>1</v>
      </c>
      <c r="H340" s="17">
        <f>F340 * G340 * 158.574528</f>
        <v>158.57452799999999</v>
      </c>
      <c r="I340" s="17">
        <f t="shared" si="49"/>
        <v>0</v>
      </c>
      <c r="J340" s="17">
        <f t="shared" ref="J340:J373" si="51">F340 * G340 * 0</f>
        <v>0</v>
      </c>
      <c r="K340" s="17">
        <f>F340 * G340 * 158.891677</f>
        <v>158.89167699999999</v>
      </c>
      <c r="L340" s="17">
        <f>F340 * G340 * 57.937582</f>
        <v>57.937581999999999</v>
      </c>
      <c r="M340" s="17">
        <f t="shared" si="47"/>
        <v>0</v>
      </c>
      <c r="N340" s="23">
        <f t="shared" si="50"/>
        <v>375.40378699999997</v>
      </c>
      <c r="O340" s="18">
        <f t="shared" si="48"/>
        <v>375.40378699999997</v>
      </c>
    </row>
    <row r="341" spans="2:15" ht="38.25">
      <c r="B341" s="12">
        <v>338</v>
      </c>
      <c r="C341" s="13" t="s">
        <v>820</v>
      </c>
      <c r="D341" s="14" t="s">
        <v>821</v>
      </c>
      <c r="E341" s="14" t="s">
        <v>807</v>
      </c>
      <c r="F341" s="15">
        <v>1</v>
      </c>
      <c r="G341" s="16">
        <v>1</v>
      </c>
      <c r="H341" s="17">
        <f>F341 * G341 * 22.02424</f>
        <v>22.024239999999999</v>
      </c>
      <c r="I341" s="17">
        <f t="shared" si="49"/>
        <v>0</v>
      </c>
      <c r="J341" s="17">
        <f t="shared" si="51"/>
        <v>0</v>
      </c>
      <c r="K341" s="17">
        <f>F341 * G341 * 22.068288</f>
        <v>22.068287999999999</v>
      </c>
      <c r="L341" s="17">
        <f>F341 * G341 * 8.046887</f>
        <v>8.0468869999999999</v>
      </c>
      <c r="M341" s="17">
        <f t="shared" si="47"/>
        <v>0</v>
      </c>
      <c r="N341" s="23">
        <f t="shared" si="50"/>
        <v>52.139415</v>
      </c>
      <c r="O341" s="18">
        <f t="shared" si="48"/>
        <v>52.139415</v>
      </c>
    </row>
    <row r="342" spans="2:15" ht="25.5">
      <c r="B342" s="12">
        <v>339</v>
      </c>
      <c r="C342" s="13" t="s">
        <v>822</v>
      </c>
      <c r="D342" s="14" t="s">
        <v>823</v>
      </c>
      <c r="E342" s="14" t="s">
        <v>807</v>
      </c>
      <c r="F342" s="15">
        <v>1</v>
      </c>
      <c r="G342" s="16">
        <v>1</v>
      </c>
      <c r="H342" s="17">
        <f>F342 * G342 * 220.2424</f>
        <v>220.2424</v>
      </c>
      <c r="I342" s="17">
        <f t="shared" si="49"/>
        <v>0</v>
      </c>
      <c r="J342" s="17">
        <f t="shared" si="51"/>
        <v>0</v>
      </c>
      <c r="K342" s="17">
        <f>F342 * G342 * 220.682885</f>
        <v>220.682885</v>
      </c>
      <c r="L342" s="17">
        <f>F342 * G342 * 80.468864</f>
        <v>80.468863999999996</v>
      </c>
      <c r="M342" s="17">
        <f t="shared" si="47"/>
        <v>0</v>
      </c>
      <c r="N342" s="23">
        <f t="shared" si="50"/>
        <v>521.39414899999997</v>
      </c>
      <c r="O342" s="18">
        <f t="shared" si="48"/>
        <v>521.39414899999997</v>
      </c>
    </row>
    <row r="343" spans="2:15" ht="38.25">
      <c r="B343" s="12">
        <v>340</v>
      </c>
      <c r="C343" s="13" t="s">
        <v>824</v>
      </c>
      <c r="D343" s="14" t="s">
        <v>825</v>
      </c>
      <c r="E343" s="14" t="s">
        <v>807</v>
      </c>
      <c r="F343" s="15">
        <v>1</v>
      </c>
      <c r="G343" s="16">
        <v>1</v>
      </c>
      <c r="H343" s="17">
        <f>F343 * G343 * 34.56731</f>
        <v>34.567309999999999</v>
      </c>
      <c r="I343" s="17">
        <f t="shared" si="49"/>
        <v>0</v>
      </c>
      <c r="J343" s="17">
        <f t="shared" si="51"/>
        <v>0</v>
      </c>
      <c r="K343" s="17">
        <f>F343 * G343 * 34.6364449999999</f>
        <v>34.636444999999902</v>
      </c>
      <c r="L343" s="17">
        <f>F343 * G343 * 12.629686</f>
        <v>12.629686</v>
      </c>
      <c r="M343" s="17">
        <f t="shared" si="47"/>
        <v>0</v>
      </c>
      <c r="N343" s="23">
        <f t="shared" si="50"/>
        <v>81.833440999999908</v>
      </c>
      <c r="O343" s="18">
        <f t="shared" si="48"/>
        <v>81.833440999999908</v>
      </c>
    </row>
    <row r="344" spans="2:15" ht="38.25">
      <c r="B344" s="12">
        <v>341</v>
      </c>
      <c r="C344" s="13" t="s">
        <v>826</v>
      </c>
      <c r="D344" s="14" t="s">
        <v>827</v>
      </c>
      <c r="E344" s="14" t="s">
        <v>807</v>
      </c>
      <c r="F344" s="15">
        <v>1</v>
      </c>
      <c r="G344" s="16">
        <v>1</v>
      </c>
      <c r="H344" s="17">
        <f>F344 * G344 * 414.80772</f>
        <v>414.80772000000002</v>
      </c>
      <c r="I344" s="17">
        <f t="shared" si="49"/>
        <v>0</v>
      </c>
      <c r="J344" s="17">
        <f t="shared" si="51"/>
        <v>0</v>
      </c>
      <c r="K344" s="17">
        <f>F344 * G344 * 415.637335</f>
        <v>415.63733500000001</v>
      </c>
      <c r="L344" s="17">
        <f>F344 * G344 * 151.556222</f>
        <v>151.55622199999999</v>
      </c>
      <c r="M344" s="17">
        <f t="shared" si="47"/>
        <v>0</v>
      </c>
      <c r="N344" s="23">
        <f t="shared" si="50"/>
        <v>982.00127700000007</v>
      </c>
      <c r="O344" s="18">
        <f t="shared" si="48"/>
        <v>982.00127700000007</v>
      </c>
    </row>
    <row r="345" spans="2:15" ht="25.5">
      <c r="B345" s="12">
        <v>342</v>
      </c>
      <c r="C345" s="13" t="s">
        <v>828</v>
      </c>
      <c r="D345" s="14" t="s">
        <v>829</v>
      </c>
      <c r="E345" s="14" t="s">
        <v>441</v>
      </c>
      <c r="F345" s="15">
        <v>1</v>
      </c>
      <c r="G345" s="16">
        <v>1</v>
      </c>
      <c r="H345" s="17">
        <f>F345 * G345 * 328.161176</f>
        <v>328.16117600000001</v>
      </c>
      <c r="I345" s="17">
        <f t="shared" si="49"/>
        <v>0</v>
      </c>
      <c r="J345" s="17">
        <f t="shared" si="51"/>
        <v>0</v>
      </c>
      <c r="K345" s="17">
        <f>F345 * G345 * 328.817498</f>
        <v>328.817498</v>
      </c>
      <c r="L345" s="17">
        <f>F345 * G345 * 119.898608</f>
        <v>119.898608</v>
      </c>
      <c r="M345" s="17">
        <f t="shared" si="47"/>
        <v>0</v>
      </c>
      <c r="N345" s="23">
        <f t="shared" si="50"/>
        <v>776.87728199999992</v>
      </c>
      <c r="O345" s="18">
        <f t="shared" si="48"/>
        <v>776.87728199999992</v>
      </c>
    </row>
    <row r="346" spans="2:15" ht="25.5">
      <c r="B346" s="12">
        <v>343</v>
      </c>
      <c r="C346" s="13" t="s">
        <v>830</v>
      </c>
      <c r="D346" s="14" t="s">
        <v>831</v>
      </c>
      <c r="E346" s="14" t="s">
        <v>441</v>
      </c>
      <c r="F346" s="15">
        <v>1</v>
      </c>
      <c r="G346" s="16">
        <v>1</v>
      </c>
      <c r="H346" s="17">
        <f>F346 * G346 * 328.161176</f>
        <v>328.16117600000001</v>
      </c>
      <c r="I346" s="17">
        <f t="shared" si="49"/>
        <v>0</v>
      </c>
      <c r="J346" s="17">
        <f t="shared" si="51"/>
        <v>0</v>
      </c>
      <c r="K346" s="17">
        <f>F346 * G346 * 328.817498</f>
        <v>328.817498</v>
      </c>
      <c r="L346" s="17">
        <f>F346 * G346 * 119.898608</f>
        <v>119.898608</v>
      </c>
      <c r="M346" s="17">
        <f t="shared" si="47"/>
        <v>0</v>
      </c>
      <c r="N346" s="23">
        <f t="shared" si="50"/>
        <v>776.87728199999992</v>
      </c>
      <c r="O346" s="18">
        <f t="shared" si="48"/>
        <v>776.87728199999992</v>
      </c>
    </row>
    <row r="347" spans="2:15" ht="76.5">
      <c r="B347" s="12">
        <v>344</v>
      </c>
      <c r="C347" s="13" t="s">
        <v>832</v>
      </c>
      <c r="D347" s="14" t="s">
        <v>833</v>
      </c>
      <c r="E347" s="14" t="s">
        <v>834</v>
      </c>
      <c r="F347" s="15">
        <v>1</v>
      </c>
      <c r="G347" s="16">
        <v>365</v>
      </c>
      <c r="H347" s="17">
        <f>F347 * G347 * 1196.000824</f>
        <v>436540.30076000001</v>
      </c>
      <c r="I347" s="17">
        <f t="shared" si="49"/>
        <v>0</v>
      </c>
      <c r="J347" s="17">
        <f t="shared" si="51"/>
        <v>0</v>
      </c>
      <c r="K347" s="17">
        <f>F347 * G347 * 1198.392826</f>
        <v>437413.38149</v>
      </c>
      <c r="L347" s="17">
        <f>F347 * G347 * 436.976841</f>
        <v>159496.54696499999</v>
      </c>
      <c r="M347" s="17">
        <f t="shared" si="47"/>
        <v>0</v>
      </c>
      <c r="N347" s="23">
        <f>O347/G347/F347/1000</f>
        <v>2.8313704909999999</v>
      </c>
      <c r="O347" s="18">
        <f t="shared" si="48"/>
        <v>1033450.2292150001</v>
      </c>
    </row>
    <row r="348" spans="2:15" ht="76.5">
      <c r="B348" s="12">
        <v>345</v>
      </c>
      <c r="C348" s="13" t="s">
        <v>835</v>
      </c>
      <c r="D348" s="14" t="s">
        <v>836</v>
      </c>
      <c r="E348" s="14" t="s">
        <v>834</v>
      </c>
      <c r="F348" s="15">
        <v>1</v>
      </c>
      <c r="G348" s="16">
        <v>365</v>
      </c>
      <c r="H348" s="17">
        <f>F348 * G348 * 1201.540824</f>
        <v>438562.40075999999</v>
      </c>
      <c r="I348" s="17">
        <f t="shared" si="49"/>
        <v>0</v>
      </c>
      <c r="J348" s="17">
        <f t="shared" si="51"/>
        <v>0</v>
      </c>
      <c r="K348" s="17">
        <f>F348 * G348 * 1203.943906</f>
        <v>439439.52568999998</v>
      </c>
      <c r="L348" s="17">
        <f>F348 * G348 * 439.000962999999</f>
        <v>160235.35149499963</v>
      </c>
      <c r="M348" s="17">
        <f t="shared" si="47"/>
        <v>0</v>
      </c>
      <c r="N348" s="23">
        <f t="shared" ref="N348:N354" si="52">O348/G348/F348/1000</f>
        <v>2.8444856929999989</v>
      </c>
      <c r="O348" s="18">
        <f t="shared" si="48"/>
        <v>1038237.2779449995</v>
      </c>
    </row>
    <row r="349" spans="2:15" ht="76.5">
      <c r="B349" s="12">
        <v>346</v>
      </c>
      <c r="C349" s="13" t="s">
        <v>837</v>
      </c>
      <c r="D349" s="14" t="s">
        <v>838</v>
      </c>
      <c r="E349" s="14" t="s">
        <v>834</v>
      </c>
      <c r="F349" s="15">
        <v>1</v>
      </c>
      <c r="G349" s="16">
        <v>365</v>
      </c>
      <c r="H349" s="17">
        <f>F349 * G349 * 1317.368584</f>
        <v>480839.53315999999</v>
      </c>
      <c r="I349" s="17">
        <f t="shared" si="49"/>
        <v>0</v>
      </c>
      <c r="J349" s="17">
        <f t="shared" si="51"/>
        <v>0</v>
      </c>
      <c r="K349" s="17">
        <f>F349 * G349 * 1320.003321</f>
        <v>481801.21216499998</v>
      </c>
      <c r="L349" s="17">
        <f>F349 * G349 * 481.320373</f>
        <v>175681.93614500001</v>
      </c>
      <c r="M349" s="17">
        <f t="shared" si="47"/>
        <v>0</v>
      </c>
      <c r="N349" s="23">
        <f t="shared" si="52"/>
        <v>3.1186922780000002</v>
      </c>
      <c r="O349" s="18">
        <f t="shared" si="48"/>
        <v>1138322.68147</v>
      </c>
    </row>
    <row r="350" spans="2:15" ht="76.5">
      <c r="B350" s="12">
        <v>347</v>
      </c>
      <c r="C350" s="13" t="s">
        <v>839</v>
      </c>
      <c r="D350" s="14" t="s">
        <v>840</v>
      </c>
      <c r="E350" s="14" t="s">
        <v>834</v>
      </c>
      <c r="F350" s="15">
        <v>1</v>
      </c>
      <c r="G350" s="16">
        <v>365</v>
      </c>
      <c r="H350" s="17">
        <f>F350 * G350 * 1438.736344</f>
        <v>525138.76555999997</v>
      </c>
      <c r="I350" s="17">
        <f t="shared" si="49"/>
        <v>0</v>
      </c>
      <c r="J350" s="17">
        <f t="shared" si="51"/>
        <v>0</v>
      </c>
      <c r="K350" s="17">
        <f>F350 * G350 * 1441.613817</f>
        <v>526189.04320499999</v>
      </c>
      <c r="L350" s="17">
        <f>F350 * G350 * 525.663904</f>
        <v>191867.32496</v>
      </c>
      <c r="M350" s="17">
        <f t="shared" si="47"/>
        <v>0</v>
      </c>
      <c r="N350" s="23">
        <f t="shared" si="52"/>
        <v>3.4060140650000004</v>
      </c>
      <c r="O350" s="18">
        <f t="shared" si="48"/>
        <v>1243195.1337250001</v>
      </c>
    </row>
    <row r="351" spans="2:15" ht="76.5">
      <c r="B351" s="12">
        <v>348</v>
      </c>
      <c r="C351" s="13" t="s">
        <v>841</v>
      </c>
      <c r="D351" s="14" t="s">
        <v>842</v>
      </c>
      <c r="E351" s="14" t="s">
        <v>834</v>
      </c>
      <c r="F351" s="15">
        <v>1</v>
      </c>
      <c r="G351" s="16">
        <v>365</v>
      </c>
      <c r="H351" s="17">
        <f>F351 * G351 * 1565.367104</f>
        <v>571358.99295999995</v>
      </c>
      <c r="I351" s="17">
        <f t="shared" si="49"/>
        <v>0</v>
      </c>
      <c r="J351" s="17">
        <f t="shared" si="51"/>
        <v>0</v>
      </c>
      <c r="K351" s="17">
        <f>F351 * G351 * 1568.497838</f>
        <v>572501.71086999995</v>
      </c>
      <c r="L351" s="17">
        <f>F351 * G351 * 571.930352</f>
        <v>208754.57848</v>
      </c>
      <c r="M351" s="17">
        <f t="shared" si="47"/>
        <v>0</v>
      </c>
      <c r="N351" s="23">
        <f t="shared" si="52"/>
        <v>3.7057952940000001</v>
      </c>
      <c r="O351" s="18">
        <f t="shared" si="48"/>
        <v>1352615.2823099999</v>
      </c>
    </row>
    <row r="352" spans="2:15" ht="76.5">
      <c r="B352" s="12">
        <v>349</v>
      </c>
      <c r="C352" s="13" t="s">
        <v>843</v>
      </c>
      <c r="D352" s="14" t="s">
        <v>833</v>
      </c>
      <c r="E352" s="14" t="s">
        <v>844</v>
      </c>
      <c r="F352" s="15">
        <v>1</v>
      </c>
      <c r="G352" s="16">
        <v>1</v>
      </c>
      <c r="H352" s="17">
        <f>F352 * G352 * 759.920872</f>
        <v>759.92087200000003</v>
      </c>
      <c r="I352" s="17">
        <f t="shared" si="49"/>
        <v>0</v>
      </c>
      <c r="J352" s="17">
        <f t="shared" si="51"/>
        <v>0</v>
      </c>
      <c r="K352" s="17">
        <f>F352 * G352 * 761.440713</f>
        <v>761.44071299999996</v>
      </c>
      <c r="L352" s="17">
        <f>F352 * G352 * 277.648489</f>
        <v>277.64848899999998</v>
      </c>
      <c r="M352" s="17">
        <f t="shared" si="47"/>
        <v>0</v>
      </c>
      <c r="N352" s="23">
        <f t="shared" si="52"/>
        <v>1.7990100740000001</v>
      </c>
      <c r="O352" s="18">
        <f t="shared" si="48"/>
        <v>1799.010074</v>
      </c>
    </row>
    <row r="353" spans="2:15" ht="76.5">
      <c r="B353" s="12">
        <v>350</v>
      </c>
      <c r="C353" s="13" t="s">
        <v>845</v>
      </c>
      <c r="D353" s="14" t="s">
        <v>836</v>
      </c>
      <c r="E353" s="14" t="s">
        <v>844</v>
      </c>
      <c r="F353" s="15">
        <v>1</v>
      </c>
      <c r="G353" s="16">
        <v>1</v>
      </c>
      <c r="H353" s="17">
        <f>F353 * G353 * 765.460872</f>
        <v>765.46087199999999</v>
      </c>
      <c r="I353" s="17">
        <f t="shared" si="49"/>
        <v>0</v>
      </c>
      <c r="J353" s="17">
        <f t="shared" si="51"/>
        <v>0</v>
      </c>
      <c r="K353" s="17">
        <f>F353 * G353 * 766.991793</f>
        <v>766.99179300000003</v>
      </c>
      <c r="L353" s="17">
        <f>F353 * G353 * 279.672612</f>
        <v>279.67261200000002</v>
      </c>
      <c r="M353" s="17">
        <f t="shared" si="47"/>
        <v>0</v>
      </c>
      <c r="N353" s="23">
        <f t="shared" si="52"/>
        <v>1.812125277</v>
      </c>
      <c r="O353" s="18">
        <f t="shared" si="48"/>
        <v>1812.1252770000001</v>
      </c>
    </row>
    <row r="354" spans="2:15" ht="76.5">
      <c r="B354" s="12">
        <v>351</v>
      </c>
      <c r="C354" s="13" t="s">
        <v>846</v>
      </c>
      <c r="D354" s="14" t="s">
        <v>838</v>
      </c>
      <c r="E354" s="14" t="s">
        <v>844</v>
      </c>
      <c r="F354" s="15">
        <v>1</v>
      </c>
      <c r="G354" s="16">
        <v>1</v>
      </c>
      <c r="H354" s="17">
        <f>F354 * G354 * 837.240152</f>
        <v>837.24015199999997</v>
      </c>
      <c r="I354" s="17">
        <f t="shared" si="49"/>
        <v>0</v>
      </c>
      <c r="J354" s="17">
        <f t="shared" si="51"/>
        <v>0</v>
      </c>
      <c r="K354" s="17">
        <f>F354 * G354 * 838.914632</f>
        <v>838.91463199999998</v>
      </c>
      <c r="L354" s="17">
        <f>F354 * G354 * 305.898248</f>
        <v>305.89824800000002</v>
      </c>
      <c r="M354" s="17">
        <f t="shared" si="47"/>
        <v>0</v>
      </c>
      <c r="N354" s="23">
        <f t="shared" si="52"/>
        <v>1.9820530319999998</v>
      </c>
      <c r="O354" s="18">
        <f t="shared" si="48"/>
        <v>1982.0530319999998</v>
      </c>
    </row>
    <row r="355" spans="2:15" ht="25.5">
      <c r="B355" s="12">
        <v>352</v>
      </c>
      <c r="C355" s="13" t="s">
        <v>847</v>
      </c>
      <c r="D355" s="14" t="s">
        <v>848</v>
      </c>
      <c r="E355" s="14" t="s">
        <v>514</v>
      </c>
      <c r="F355" s="15">
        <v>1</v>
      </c>
      <c r="G355" s="16">
        <v>1</v>
      </c>
      <c r="H355" s="17">
        <f>F355 * G355 * 8189.544</f>
        <v>8189.5439999999999</v>
      </c>
      <c r="I355" s="17">
        <f>F355 * G355 * 2823.217454</f>
        <v>2823.2174540000001</v>
      </c>
      <c r="J355" s="17">
        <f t="shared" si="51"/>
        <v>0</v>
      </c>
      <c r="K355" s="17">
        <f>F355 * G355 * 8205.923088</f>
        <v>8205.9230879999996</v>
      </c>
      <c r="L355" s="17">
        <f>F355 * G355 * 3507.409929</f>
        <v>3507.4099289999999</v>
      </c>
      <c r="M355" s="17">
        <f t="shared" si="47"/>
        <v>0</v>
      </c>
      <c r="N355" s="23">
        <f t="shared" si="45"/>
        <v>227.26094470999999</v>
      </c>
      <c r="O355" s="18">
        <f t="shared" si="48"/>
        <v>22726.094471</v>
      </c>
    </row>
    <row r="356" spans="2:15">
      <c r="B356" s="12">
        <v>353</v>
      </c>
      <c r="C356" s="13" t="s">
        <v>849</v>
      </c>
      <c r="D356" s="14" t="s">
        <v>850</v>
      </c>
      <c r="E356" s="14" t="s">
        <v>851</v>
      </c>
      <c r="F356" s="15">
        <v>1</v>
      </c>
      <c r="G356" s="16">
        <v>1</v>
      </c>
      <c r="H356" s="17">
        <f>F356 * G356 * 43.726415</f>
        <v>43.726415000000003</v>
      </c>
      <c r="I356" s="17">
        <f>F356 * G356 * 318.18636</f>
        <v>318.18635999999998</v>
      </c>
      <c r="J356" s="17">
        <f t="shared" si="51"/>
        <v>0</v>
      </c>
      <c r="K356" s="17">
        <f>F356 * G356 * 43.813868</f>
        <v>43.813867999999999</v>
      </c>
      <c r="L356" s="17">
        <f>F356 * G356 * 74.045112</f>
        <v>74.045112000000003</v>
      </c>
      <c r="M356" s="17">
        <f t="shared" si="47"/>
        <v>0</v>
      </c>
      <c r="N356" s="23">
        <f>O356/G356/F356</f>
        <v>479.77175500000004</v>
      </c>
      <c r="O356" s="18">
        <f t="shared" si="48"/>
        <v>479.77175500000004</v>
      </c>
    </row>
    <row r="357" spans="2:15">
      <c r="B357" s="12">
        <v>354</v>
      </c>
      <c r="C357" s="13" t="s">
        <v>852</v>
      </c>
      <c r="D357" s="14" t="s">
        <v>853</v>
      </c>
      <c r="E357" s="14" t="s">
        <v>854</v>
      </c>
      <c r="F357" s="15">
        <v>1</v>
      </c>
      <c r="G357" s="16">
        <v>1</v>
      </c>
      <c r="H357" s="17">
        <f>F357 * G357 * 7.923811</f>
        <v>7.9238109999999997</v>
      </c>
      <c r="I357" s="17">
        <f>F357 * G357 * 0</f>
        <v>0</v>
      </c>
      <c r="J357" s="17">
        <f t="shared" si="51"/>
        <v>0</v>
      </c>
      <c r="K357" s="17">
        <f>F357 * G357 * 7.939659</f>
        <v>7.9396589999999998</v>
      </c>
      <c r="L357" s="17">
        <f>F357 * G357 * 2.89508299999999</f>
        <v>2.8950829999999899</v>
      </c>
      <c r="M357" s="17">
        <f t="shared" si="47"/>
        <v>0</v>
      </c>
      <c r="N357" s="23">
        <f>O357/G357/F357</f>
        <v>18.758552999999988</v>
      </c>
      <c r="O357" s="18">
        <f t="shared" si="48"/>
        <v>18.758552999999988</v>
      </c>
    </row>
    <row r="358" spans="2:15" ht="25.5">
      <c r="B358" s="12">
        <v>355</v>
      </c>
      <c r="C358" s="13" t="s">
        <v>855</v>
      </c>
      <c r="D358" s="14" t="s">
        <v>856</v>
      </c>
      <c r="E358" s="14" t="s">
        <v>514</v>
      </c>
      <c r="F358" s="15">
        <v>1</v>
      </c>
      <c r="G358" s="16">
        <v>1</v>
      </c>
      <c r="H358" s="17">
        <f>F358 * G358 * 8189.544</f>
        <v>8189.5439999999999</v>
      </c>
      <c r="I358" s="17">
        <f>F358 * G358 * 2823.217454</f>
        <v>2823.2174540000001</v>
      </c>
      <c r="J358" s="17">
        <f t="shared" si="51"/>
        <v>0</v>
      </c>
      <c r="K358" s="17">
        <f>F358 * G358 * 8205.923088</f>
        <v>8205.9230879999996</v>
      </c>
      <c r="L358" s="17">
        <f>F358 * G358 * 3507.409929</f>
        <v>3507.4099289999999</v>
      </c>
      <c r="M358" s="17">
        <f t="shared" si="47"/>
        <v>0</v>
      </c>
      <c r="N358" s="23">
        <f t="shared" si="45"/>
        <v>227.26094470999999</v>
      </c>
      <c r="O358" s="18">
        <f t="shared" si="48"/>
        <v>22726.094471</v>
      </c>
    </row>
    <row r="359" spans="2:15" ht="25.5">
      <c r="B359" s="12">
        <v>356</v>
      </c>
      <c r="C359" s="13" t="s">
        <v>857</v>
      </c>
      <c r="D359" s="14" t="s">
        <v>858</v>
      </c>
      <c r="E359" s="14" t="s">
        <v>859</v>
      </c>
      <c r="F359" s="15">
        <v>1</v>
      </c>
      <c r="G359" s="16">
        <v>365</v>
      </c>
      <c r="H359" s="17">
        <f>F359 * G359 * 135.305803</f>
        <v>49386.618094999998</v>
      </c>
      <c r="I359" s="17">
        <f>F359 * G359 * 0</f>
        <v>0</v>
      </c>
      <c r="J359" s="17">
        <f t="shared" si="51"/>
        <v>0</v>
      </c>
      <c r="K359" s="17">
        <f>F359 * G359 * 135.576415</f>
        <v>49485.391474999997</v>
      </c>
      <c r="L359" s="17">
        <f>F359 * G359 * 49.436004</f>
        <v>18044.141459999999</v>
      </c>
      <c r="M359" s="17">
        <f t="shared" si="47"/>
        <v>0</v>
      </c>
      <c r="N359" s="23">
        <f>O359/G359/F359</f>
        <v>320.31822199999999</v>
      </c>
      <c r="O359" s="18">
        <f t="shared" si="48"/>
        <v>116916.15102999999</v>
      </c>
    </row>
    <row r="360" spans="2:15" ht="38.25">
      <c r="B360" s="12">
        <v>357</v>
      </c>
      <c r="C360" s="13" t="s">
        <v>860</v>
      </c>
      <c r="D360" s="14" t="s">
        <v>861</v>
      </c>
      <c r="E360" s="14" t="s">
        <v>862</v>
      </c>
      <c r="F360" s="15">
        <v>1</v>
      </c>
      <c r="G360" s="16">
        <v>365</v>
      </c>
      <c r="H360" s="17">
        <f>F360 * G360 * 174.152725</f>
        <v>63565.744624999999</v>
      </c>
      <c r="I360" s="17">
        <f>F360 * G360 * 0</f>
        <v>0</v>
      </c>
      <c r="J360" s="17">
        <f t="shared" si="51"/>
        <v>0</v>
      </c>
      <c r="K360" s="17">
        <f>F360 * G360 * 174.501031</f>
        <v>63692.876315000001</v>
      </c>
      <c r="L360" s="17">
        <f>F360 * G360 * 63.629311</f>
        <v>23224.698515</v>
      </c>
      <c r="M360" s="17">
        <f t="shared" si="47"/>
        <v>0</v>
      </c>
      <c r="N360" s="23">
        <f t="shared" si="45"/>
        <v>4.1228306699999999</v>
      </c>
      <c r="O360" s="18">
        <f t="shared" si="48"/>
        <v>150483.31945499999</v>
      </c>
    </row>
    <row r="361" spans="2:15" ht="51">
      <c r="B361" s="12">
        <v>358</v>
      </c>
      <c r="C361" s="13" t="s">
        <v>863</v>
      </c>
      <c r="D361" s="14" t="s">
        <v>864</v>
      </c>
      <c r="E361" s="14" t="s">
        <v>862</v>
      </c>
      <c r="F361" s="15">
        <v>1</v>
      </c>
      <c r="G361" s="16">
        <v>365</v>
      </c>
      <c r="H361" s="17">
        <f>F361 * G361 * 186.990179</f>
        <v>68251.415334999998</v>
      </c>
      <c r="I361" s="17">
        <f>F361 * G361 * 0</f>
        <v>0</v>
      </c>
      <c r="J361" s="17">
        <f t="shared" si="51"/>
        <v>0</v>
      </c>
      <c r="K361" s="17">
        <f>F361 * G361 * 187.364159</f>
        <v>68387.918034999995</v>
      </c>
      <c r="L361" s="17">
        <f>F361 * G361 * 68.319666</f>
        <v>24936.678089999998</v>
      </c>
      <c r="M361" s="17">
        <f t="shared" si="47"/>
        <v>0</v>
      </c>
      <c r="N361" s="23">
        <f t="shared" si="45"/>
        <v>4.4267400400000003</v>
      </c>
      <c r="O361" s="18">
        <f t="shared" si="48"/>
        <v>161576.01146000001</v>
      </c>
    </row>
    <row r="362" spans="2:15" ht="38.25">
      <c r="B362" s="12">
        <v>359</v>
      </c>
      <c r="C362" s="13" t="s">
        <v>865</v>
      </c>
      <c r="D362" s="14" t="s">
        <v>866</v>
      </c>
      <c r="E362" s="14" t="s">
        <v>862</v>
      </c>
      <c r="F362" s="15">
        <v>1</v>
      </c>
      <c r="G362" s="16">
        <v>1</v>
      </c>
      <c r="H362" s="17">
        <f>F362 * G362 * 1319.643095</f>
        <v>1319.6430949999999</v>
      </c>
      <c r="I362" s="17">
        <f>F362 * G362 * 525.0384</f>
        <v>525.03840000000002</v>
      </c>
      <c r="J362" s="17">
        <f t="shared" si="51"/>
        <v>0</v>
      </c>
      <c r="K362" s="17">
        <f>F362 * G362 * 1322.282382</f>
        <v>1322.2823820000001</v>
      </c>
      <c r="L362" s="17">
        <f>F362 * G362 * 577.970908</f>
        <v>577.97090800000001</v>
      </c>
      <c r="M362" s="17">
        <f t="shared" si="47"/>
        <v>0</v>
      </c>
      <c r="N362" s="23">
        <f t="shared" si="45"/>
        <v>37.449347850000002</v>
      </c>
      <c r="O362" s="18">
        <f t="shared" si="48"/>
        <v>3744.9347850000004</v>
      </c>
    </row>
    <row r="363" spans="2:15" ht="51">
      <c r="B363" s="12">
        <v>360</v>
      </c>
      <c r="C363" s="13" t="s">
        <v>867</v>
      </c>
      <c r="D363" s="14" t="s">
        <v>868</v>
      </c>
      <c r="E363" s="14" t="s">
        <v>862</v>
      </c>
      <c r="F363" s="15">
        <v>1</v>
      </c>
      <c r="G363" s="16">
        <v>1</v>
      </c>
      <c r="H363" s="17">
        <f>F363 * G363 * 1416.918968</f>
        <v>1416.9189679999999</v>
      </c>
      <c r="I363" s="17">
        <f>F363 * G363 * 525.0384</f>
        <v>525.03840000000002</v>
      </c>
      <c r="J363" s="17">
        <f t="shared" si="51"/>
        <v>0</v>
      </c>
      <c r="K363" s="17">
        <f>F363 * G363 * 1419.752806</f>
        <v>1419.752806</v>
      </c>
      <c r="L363" s="17">
        <f>F363 * G363 * 613.512107</f>
        <v>613.51210700000001</v>
      </c>
      <c r="M363" s="17">
        <f t="shared" si="47"/>
        <v>0</v>
      </c>
      <c r="N363" s="23">
        <f t="shared" si="45"/>
        <v>39.752222809999999</v>
      </c>
      <c r="O363" s="18">
        <f t="shared" si="48"/>
        <v>3975.2222809999998</v>
      </c>
    </row>
    <row r="364" spans="2:15" ht="25.5">
      <c r="B364" s="12">
        <v>361</v>
      </c>
      <c r="C364" s="13" t="s">
        <v>869</v>
      </c>
      <c r="D364" s="14" t="s">
        <v>870</v>
      </c>
      <c r="E364" s="14" t="s">
        <v>871</v>
      </c>
      <c r="F364" s="15">
        <v>1</v>
      </c>
      <c r="G364" s="16">
        <v>1</v>
      </c>
      <c r="H364" s="17">
        <f>F364 * G364 * 296.29008</f>
        <v>296.29007999999999</v>
      </c>
      <c r="I364" s="17">
        <f>F364 * G364 * 718.046249</f>
        <v>718.04624899999999</v>
      </c>
      <c r="J364" s="17">
        <f t="shared" si="51"/>
        <v>0</v>
      </c>
      <c r="K364" s="17">
        <f>F364 * G364 * 296.88266</f>
        <v>296.88265999999999</v>
      </c>
      <c r="L364" s="17">
        <f>F364 * G364 * 239.297465</f>
        <v>239.29746499999999</v>
      </c>
      <c r="M364" s="17">
        <f t="shared" si="47"/>
        <v>0</v>
      </c>
      <c r="N364" s="23">
        <f t="shared" si="45"/>
        <v>15.505164540000001</v>
      </c>
      <c r="O364" s="18">
        <f t="shared" si="48"/>
        <v>1550.5164540000001</v>
      </c>
    </row>
    <row r="365" spans="2:15" ht="25.5">
      <c r="B365" s="12">
        <v>362</v>
      </c>
      <c r="C365" s="13" t="s">
        <v>872</v>
      </c>
      <c r="D365" s="14" t="s">
        <v>873</v>
      </c>
      <c r="E365" s="14" t="s">
        <v>871</v>
      </c>
      <c r="F365" s="15">
        <v>1</v>
      </c>
      <c r="G365" s="16">
        <v>1</v>
      </c>
      <c r="H365" s="17">
        <f>F365 * G365 * 565.091025</f>
        <v>565.09102499999995</v>
      </c>
      <c r="I365" s="17">
        <f>F365 * G365 * 718.046249</f>
        <v>718.04624899999999</v>
      </c>
      <c r="J365" s="17">
        <f t="shared" si="51"/>
        <v>0</v>
      </c>
      <c r="K365" s="17">
        <f>F365 * G365 * 566.221207</f>
        <v>566.22120700000005</v>
      </c>
      <c r="L365" s="17">
        <f>F365 * G365 * 337.507923</f>
        <v>337.50792300000001</v>
      </c>
      <c r="M365" s="17">
        <f t="shared" si="47"/>
        <v>0</v>
      </c>
      <c r="N365" s="23">
        <f t="shared" si="45"/>
        <v>21.868664039999999</v>
      </c>
      <c r="O365" s="18">
        <f t="shared" si="48"/>
        <v>2186.8664039999999</v>
      </c>
    </row>
    <row r="366" spans="2:15" ht="25.5">
      <c r="B366" s="12">
        <v>363</v>
      </c>
      <c r="C366" s="13" t="s">
        <v>874</v>
      </c>
      <c r="D366" s="14" t="s">
        <v>875</v>
      </c>
      <c r="E366" s="14" t="s">
        <v>876</v>
      </c>
      <c r="F366" s="15">
        <v>1</v>
      </c>
      <c r="G366" s="16">
        <v>2</v>
      </c>
      <c r="H366" s="17">
        <f>F366 * G366 * 67.160934</f>
        <v>134.32186799999999</v>
      </c>
      <c r="I366" s="17">
        <f>F366 * G366 * 0</f>
        <v>0</v>
      </c>
      <c r="J366" s="17">
        <f t="shared" si="51"/>
        <v>0</v>
      </c>
      <c r="K366" s="17">
        <f>F366 * G366 * 67.295256</f>
        <v>134.59051199999999</v>
      </c>
      <c r="L366" s="17">
        <f>F366 * G366 * 24.538254</f>
        <v>49.076507999999997</v>
      </c>
      <c r="M366" s="17">
        <f t="shared" si="47"/>
        <v>0</v>
      </c>
      <c r="N366" s="23">
        <f t="shared" si="45"/>
        <v>1.5899444399999998</v>
      </c>
      <c r="O366" s="18">
        <f t="shared" si="48"/>
        <v>317.98888799999997</v>
      </c>
    </row>
    <row r="367" spans="2:15">
      <c r="B367" s="12">
        <v>364</v>
      </c>
      <c r="C367" s="13" t="s">
        <v>877</v>
      </c>
      <c r="D367" s="14" t="s">
        <v>878</v>
      </c>
      <c r="E367" s="14" t="s">
        <v>879</v>
      </c>
      <c r="F367" s="15">
        <v>1</v>
      </c>
      <c r="G367" s="16">
        <v>2</v>
      </c>
      <c r="H367" s="17">
        <f>F367 * G367 * 77.364632</f>
        <v>154.729264</v>
      </c>
      <c r="I367" s="17">
        <f>F367 * G367 * 82.2342</f>
        <v>164.4684</v>
      </c>
      <c r="J367" s="17">
        <f t="shared" si="51"/>
        <v>0</v>
      </c>
      <c r="K367" s="17">
        <f>F367 * G367 * 77.519361</f>
        <v>155.03872200000001</v>
      </c>
      <c r="L367" s="17">
        <f>F367 * G367 * 43.27407</f>
        <v>86.548140000000004</v>
      </c>
      <c r="M367" s="17">
        <f t="shared" si="47"/>
        <v>0</v>
      </c>
      <c r="N367" s="23">
        <f>O367/G367/F367</f>
        <v>280.39226300000001</v>
      </c>
      <c r="O367" s="18">
        <f t="shared" si="48"/>
        <v>560.78452600000003</v>
      </c>
    </row>
    <row r="368" spans="2:15">
      <c r="B368" s="12">
        <v>365</v>
      </c>
      <c r="C368" s="13" t="s">
        <v>880</v>
      </c>
      <c r="D368" s="14" t="s">
        <v>881</v>
      </c>
      <c r="E368" s="14" t="s">
        <v>879</v>
      </c>
      <c r="F368" s="15">
        <v>1</v>
      </c>
      <c r="G368" s="16">
        <v>2</v>
      </c>
      <c r="H368" s="17">
        <f>F368 * G368 * 131.68448</f>
        <v>263.36896000000002</v>
      </c>
      <c r="I368" s="17">
        <f>F368 * G368 * 82.2342</f>
        <v>164.4684</v>
      </c>
      <c r="J368" s="17">
        <f t="shared" si="51"/>
        <v>0</v>
      </c>
      <c r="K368" s="17">
        <f>F368 * G368 * 131.947849</f>
        <v>263.89569799999998</v>
      </c>
      <c r="L368" s="17">
        <f>F368 * G368 * 63.120642</f>
        <v>126.24128399999999</v>
      </c>
      <c r="M368" s="17">
        <f t="shared" si="47"/>
        <v>0</v>
      </c>
      <c r="N368" s="23">
        <f>O368/G368/F368</f>
        <v>408.98717099999999</v>
      </c>
      <c r="O368" s="18">
        <f t="shared" si="48"/>
        <v>817.97434199999998</v>
      </c>
    </row>
    <row r="369" spans="2:15" ht="25.5">
      <c r="B369" s="12">
        <v>366</v>
      </c>
      <c r="C369" s="13" t="s">
        <v>882</v>
      </c>
      <c r="D369" s="14" t="s">
        <v>883</v>
      </c>
      <c r="E369" s="14" t="s">
        <v>884</v>
      </c>
      <c r="F369" s="15">
        <v>1</v>
      </c>
      <c r="G369" s="16">
        <v>1</v>
      </c>
      <c r="H369" s="17">
        <f>F369 * G369 * 3527.827219</f>
        <v>3527.8272189999998</v>
      </c>
      <c r="I369" s="17">
        <f>F369 * G369 * 0</f>
        <v>0</v>
      </c>
      <c r="J369" s="17">
        <f t="shared" si="51"/>
        <v>0</v>
      </c>
      <c r="K369" s="17">
        <f>F369 * G369 * 3534.882873</f>
        <v>3534.882873</v>
      </c>
      <c r="L369" s="17">
        <f>F369 * G369 * 1288.944592</f>
        <v>1288.9445920000001</v>
      </c>
      <c r="M369" s="17">
        <f t="shared" si="47"/>
        <v>0</v>
      </c>
      <c r="N369" s="23">
        <f t="shared" ref="N367:N430" si="53">O369/G369/F369/100</f>
        <v>83.51654683999999</v>
      </c>
      <c r="O369" s="18">
        <f t="shared" si="48"/>
        <v>8351.6546839999992</v>
      </c>
    </row>
    <row r="370" spans="2:15">
      <c r="B370" s="12">
        <v>367</v>
      </c>
      <c r="C370" s="13" t="s">
        <v>885</v>
      </c>
      <c r="D370" s="14" t="s">
        <v>886</v>
      </c>
      <c r="E370" s="14" t="s">
        <v>887</v>
      </c>
      <c r="F370" s="15">
        <v>1</v>
      </c>
      <c r="G370" s="16">
        <v>8</v>
      </c>
      <c r="H370" s="17">
        <f>F370 * G370 * 12.34542</f>
        <v>98.763360000000006</v>
      </c>
      <c r="I370" s="17">
        <f>F370 * G370 * 50.687294</f>
        <v>405.49835200000001</v>
      </c>
      <c r="J370" s="17">
        <f t="shared" si="51"/>
        <v>0</v>
      </c>
      <c r="K370" s="17">
        <f>F370 * G370 * 12.370111</f>
        <v>98.960887999999997</v>
      </c>
      <c r="L370" s="17">
        <f>F370 * G370 * 13.7610159999999</f>
        <v>110.0881279999992</v>
      </c>
      <c r="M370" s="17">
        <f t="shared" si="47"/>
        <v>0</v>
      </c>
      <c r="N370" s="23">
        <f>O370/G370/F370</f>
        <v>89.163840999999891</v>
      </c>
      <c r="O370" s="18">
        <f t="shared" si="48"/>
        <v>713.31072799999913</v>
      </c>
    </row>
    <row r="371" spans="2:15" ht="38.25">
      <c r="B371" s="12">
        <v>368</v>
      </c>
      <c r="C371" s="13" t="s">
        <v>888</v>
      </c>
      <c r="D371" s="14" t="s">
        <v>889</v>
      </c>
      <c r="E371" s="14" t="s">
        <v>890</v>
      </c>
      <c r="F371" s="15">
        <v>1</v>
      </c>
      <c r="G371" s="16">
        <v>1</v>
      </c>
      <c r="H371" s="17">
        <f>F371 * G371 * 23958.389568</f>
        <v>23958.389567999999</v>
      </c>
      <c r="I371" s="17">
        <f>F371 * G371 * 5359.027939</f>
        <v>5359.0279389999996</v>
      </c>
      <c r="J371" s="17">
        <f t="shared" si="51"/>
        <v>0</v>
      </c>
      <c r="K371" s="17">
        <f>F371 * G371 * 24006.306348</f>
        <v>24006.306347999998</v>
      </c>
      <c r="L371" s="17">
        <f>F371 * G371 * 9731.579603</f>
        <v>9731.5796030000001</v>
      </c>
      <c r="M371" s="17">
        <f t="shared" si="47"/>
        <v>0</v>
      </c>
      <c r="N371" s="23">
        <f t="shared" si="53"/>
        <v>630.55303457999992</v>
      </c>
      <c r="O371" s="18">
        <f t="shared" si="48"/>
        <v>63055.303457999995</v>
      </c>
    </row>
    <row r="372" spans="2:15">
      <c r="B372" s="12">
        <v>369</v>
      </c>
      <c r="C372" s="13" t="s">
        <v>891</v>
      </c>
      <c r="D372" s="14" t="s">
        <v>892</v>
      </c>
      <c r="E372" s="14" t="s">
        <v>893</v>
      </c>
      <c r="F372" s="15">
        <v>1</v>
      </c>
      <c r="G372" s="16">
        <v>2</v>
      </c>
      <c r="H372" s="17">
        <f>F372 * G372 * 157.527559</f>
        <v>315.05511799999999</v>
      </c>
      <c r="I372" s="17">
        <f>F372 * G372 * 5.497693</f>
        <v>10.995386</v>
      </c>
      <c r="J372" s="17">
        <f t="shared" si="51"/>
        <v>0</v>
      </c>
      <c r="K372" s="17">
        <f>F372 * G372 * 157.842614</f>
        <v>315.685228</v>
      </c>
      <c r="L372" s="17">
        <f>F372 * G372 * 58.558386</f>
        <v>117.116772</v>
      </c>
      <c r="M372" s="17">
        <f t="shared" si="47"/>
        <v>0</v>
      </c>
      <c r="N372" s="23">
        <f>O372/G372/F372/10</f>
        <v>37.942625199999995</v>
      </c>
      <c r="O372" s="18">
        <f t="shared" si="48"/>
        <v>758.85250399999995</v>
      </c>
    </row>
    <row r="373" spans="2:15">
      <c r="B373" s="12">
        <v>370</v>
      </c>
      <c r="C373" s="13" t="s">
        <v>894</v>
      </c>
      <c r="D373" s="14" t="s">
        <v>895</v>
      </c>
      <c r="E373" s="14" t="s">
        <v>896</v>
      </c>
      <c r="F373" s="15">
        <v>1</v>
      </c>
      <c r="G373" s="16">
        <v>2</v>
      </c>
      <c r="H373" s="17">
        <f>F373 * G373 * 58.928805</f>
        <v>117.85760999999999</v>
      </c>
      <c r="I373" s="17">
        <f>F373 * G373 * 41.850966</f>
        <v>83.701931999999999</v>
      </c>
      <c r="J373" s="17">
        <f t="shared" si="51"/>
        <v>0</v>
      </c>
      <c r="K373" s="17">
        <f>F373 * G373 * 59.0466629999999</f>
        <v>118.09332599999981</v>
      </c>
      <c r="L373" s="17">
        <f>F373 * G373 * 29.168325</f>
        <v>58.336649999999999</v>
      </c>
      <c r="M373" s="17">
        <f t="shared" si="47"/>
        <v>0</v>
      </c>
      <c r="N373" s="23">
        <f>O373/G373/F373/10</f>
        <v>18.899475899999992</v>
      </c>
      <c r="O373" s="18">
        <f t="shared" si="48"/>
        <v>377.9895179999998</v>
      </c>
    </row>
    <row r="374" spans="2:15" ht="25.5">
      <c r="B374" s="12">
        <v>371</v>
      </c>
      <c r="C374" s="13" t="s">
        <v>897</v>
      </c>
      <c r="D374" s="14" t="s">
        <v>47</v>
      </c>
      <c r="E374" s="14" t="s">
        <v>48</v>
      </c>
      <c r="F374" s="15">
        <v>1</v>
      </c>
      <c r="G374" s="16">
        <v>1</v>
      </c>
      <c r="H374" s="17">
        <f>F374 * G374 * 2328.43626</f>
        <v>2328.4362599999999</v>
      </c>
      <c r="I374" s="17">
        <f>F374 * G374 * 986.0453</f>
        <v>986.0453</v>
      </c>
      <c r="J374" s="17">
        <f>F374 * G374 * 1106.45</f>
        <v>1106.45</v>
      </c>
      <c r="K374" s="17">
        <f>F374 * G374 * 2333.093133</f>
        <v>2333.0931329999999</v>
      </c>
      <c r="L374" s="17">
        <f>F374 * G374 * 1232.609506</f>
        <v>1232.609506</v>
      </c>
      <c r="M374" s="17">
        <f t="shared" si="47"/>
        <v>0</v>
      </c>
      <c r="N374" s="23">
        <f t="shared" si="53"/>
        <v>79.866341989999995</v>
      </c>
      <c r="O374" s="18">
        <f t="shared" si="48"/>
        <v>7986.6341989999992</v>
      </c>
    </row>
    <row r="375" spans="2:15" ht="25.5">
      <c r="B375" s="12">
        <v>372</v>
      </c>
      <c r="C375" s="13" t="s">
        <v>898</v>
      </c>
      <c r="D375" s="14" t="s">
        <v>899</v>
      </c>
      <c r="E375" s="14" t="s">
        <v>48</v>
      </c>
      <c r="F375" s="15">
        <v>1</v>
      </c>
      <c r="G375" s="16">
        <v>1</v>
      </c>
      <c r="H375" s="17">
        <f>F375 * G375 * 2776.99992</f>
        <v>2776.9999200000002</v>
      </c>
      <c r="I375" s="17">
        <f>F375 * G375 * 1377.109704</f>
        <v>1377.109704</v>
      </c>
      <c r="J375" s="17">
        <f>F375 * G375 * 1321.1013</f>
        <v>1321.1013</v>
      </c>
      <c r="K375" s="17">
        <f>F375 * G375 * 2782.55392</f>
        <v>2782.5539199999998</v>
      </c>
      <c r="L375" s="17">
        <f>F375 * G375 * 1507.042084</f>
        <v>1507.0420839999999</v>
      </c>
      <c r="M375" s="17">
        <f t="shared" si="47"/>
        <v>0</v>
      </c>
      <c r="N375" s="23">
        <f t="shared" si="53"/>
        <v>97.648069280000016</v>
      </c>
      <c r="O375" s="18">
        <f t="shared" si="48"/>
        <v>9764.8069280000018</v>
      </c>
    </row>
    <row r="376" spans="2:15" ht="25.5">
      <c r="B376" s="12">
        <v>373</v>
      </c>
      <c r="C376" s="13" t="s">
        <v>900</v>
      </c>
      <c r="D376" s="14" t="s">
        <v>901</v>
      </c>
      <c r="E376" s="14" t="s">
        <v>48</v>
      </c>
      <c r="F376" s="15">
        <v>1</v>
      </c>
      <c r="G376" s="16">
        <v>1</v>
      </c>
      <c r="H376" s="17">
        <f>F376 * G376 * 2010.1608</f>
        <v>2010.1608000000001</v>
      </c>
      <c r="I376" s="17">
        <f>F376 * G376 * 396.543153</f>
        <v>396.54315300000002</v>
      </c>
      <c r="J376" s="17">
        <f>F376 * G376 * 955.9728</f>
        <v>955.97280000000001</v>
      </c>
      <c r="K376" s="17">
        <f>F376 * G376 * 2014.181122</f>
        <v>2014.181122</v>
      </c>
      <c r="L376" s="17">
        <f>F376 * G376 * 981.276562999999</f>
        <v>981.27656299999899</v>
      </c>
      <c r="M376" s="17">
        <f t="shared" si="47"/>
        <v>0</v>
      </c>
      <c r="N376" s="23">
        <f t="shared" si="53"/>
        <v>63.58134437999999</v>
      </c>
      <c r="O376" s="18">
        <f t="shared" si="48"/>
        <v>6358.1344379999991</v>
      </c>
    </row>
    <row r="377" spans="2:15" ht="25.5">
      <c r="B377" s="12">
        <v>374</v>
      </c>
      <c r="C377" s="13" t="s">
        <v>902</v>
      </c>
      <c r="D377" s="14" t="s">
        <v>903</v>
      </c>
      <c r="E377" s="14" t="s">
        <v>48</v>
      </c>
      <c r="F377" s="15">
        <v>1</v>
      </c>
      <c r="G377" s="16">
        <v>1</v>
      </c>
      <c r="H377" s="17">
        <f>F377 * G377 * 2010.1608</f>
        <v>2010.1608000000001</v>
      </c>
      <c r="I377" s="17">
        <f>F377 * G377 * 598.989823</f>
        <v>598.989823</v>
      </c>
      <c r="J377" s="17">
        <f>F377 * G377 * 955.9728</f>
        <v>955.97280000000001</v>
      </c>
      <c r="K377" s="17">
        <f>F377 * G377 * 2014.181122</f>
        <v>2014.181122</v>
      </c>
      <c r="L377" s="17">
        <f>F377 * G377 * 1018.22308</f>
        <v>1018.22308</v>
      </c>
      <c r="M377" s="17">
        <f t="shared" si="47"/>
        <v>0</v>
      </c>
      <c r="N377" s="23">
        <f t="shared" si="53"/>
        <v>65.975276249999993</v>
      </c>
      <c r="O377" s="18">
        <f t="shared" si="48"/>
        <v>6597.5276249999997</v>
      </c>
    </row>
    <row r="378" spans="2:15" ht="25.5">
      <c r="B378" s="12">
        <v>375</v>
      </c>
      <c r="C378" s="13" t="s">
        <v>904</v>
      </c>
      <c r="D378" s="14" t="s">
        <v>905</v>
      </c>
      <c r="E378" s="14" t="s">
        <v>906</v>
      </c>
      <c r="F378" s="15">
        <v>1</v>
      </c>
      <c r="G378" s="16">
        <v>1</v>
      </c>
      <c r="H378" s="17">
        <f>F378 * G378 * 218.925448</f>
        <v>218.92544799999999</v>
      </c>
      <c r="I378" s="17">
        <f>F378 * G378 * 1.679423</f>
        <v>1.6794230000000001</v>
      </c>
      <c r="J378" s="17">
        <f t="shared" ref="J378:J392" si="54">F378 * G378 * 0</f>
        <v>0</v>
      </c>
      <c r="K378" s="17">
        <f>F378 * G378 * 219.363299</f>
        <v>219.36329900000001</v>
      </c>
      <c r="L378" s="17">
        <f>F378 * G378 * 80.294191</f>
        <v>80.294190999999998</v>
      </c>
      <c r="M378" s="17">
        <f t="shared" si="47"/>
        <v>0</v>
      </c>
      <c r="N378" s="23">
        <f>O378/G378/F378/1000</f>
        <v>0.5202623609999999</v>
      </c>
      <c r="O378" s="18">
        <f t="shared" si="48"/>
        <v>520.26236099999994</v>
      </c>
    </row>
    <row r="379" spans="2:15" ht="25.5">
      <c r="B379" s="12">
        <v>376</v>
      </c>
      <c r="C379" s="13" t="s">
        <v>907</v>
      </c>
      <c r="D379" s="14" t="s">
        <v>908</v>
      </c>
      <c r="E379" s="14" t="s">
        <v>906</v>
      </c>
      <c r="F379" s="15">
        <v>1</v>
      </c>
      <c r="G379" s="16">
        <v>1</v>
      </c>
      <c r="H379" s="17">
        <f>F379 * G379 * 274.891352</f>
        <v>274.89135199999998</v>
      </c>
      <c r="I379" s="17">
        <f>F379 * G379 * 2.082484</f>
        <v>2.082484</v>
      </c>
      <c r="J379" s="17">
        <f t="shared" si="54"/>
        <v>0</v>
      </c>
      <c r="K379" s="17">
        <f>F379 * G379 * 275.441134</f>
        <v>275.44113399999998</v>
      </c>
      <c r="L379" s="17">
        <f>F379 * G379 * 100.815732</f>
        <v>100.815732</v>
      </c>
      <c r="M379" s="17">
        <f t="shared" si="47"/>
        <v>0</v>
      </c>
      <c r="N379" s="23">
        <f t="shared" ref="N379:N386" si="55">O379/G379/F379/1000</f>
        <v>0.65323070200000011</v>
      </c>
      <c r="O379" s="18">
        <f t="shared" si="48"/>
        <v>653.23070200000006</v>
      </c>
    </row>
    <row r="380" spans="2:15" ht="25.5">
      <c r="B380" s="12">
        <v>377</v>
      </c>
      <c r="C380" s="13" t="s">
        <v>909</v>
      </c>
      <c r="D380" s="14" t="s">
        <v>910</v>
      </c>
      <c r="E380" s="14" t="s">
        <v>906</v>
      </c>
      <c r="F380" s="15">
        <v>1</v>
      </c>
      <c r="G380" s="16">
        <v>1</v>
      </c>
      <c r="H380" s="17">
        <f>F380 * G380 * 329.2112</f>
        <v>329.21120000000002</v>
      </c>
      <c r="I380" s="17">
        <f>F380 * G380 * 2.485546</f>
        <v>2.4855459999999998</v>
      </c>
      <c r="J380" s="17">
        <f t="shared" si="54"/>
        <v>0</v>
      </c>
      <c r="K380" s="17">
        <f>F380 * G380 * 329.869622</f>
        <v>329.86962199999999</v>
      </c>
      <c r="L380" s="17">
        <f>F380 * G380 * 120.735863</f>
        <v>120.73586299999999</v>
      </c>
      <c r="M380" s="17">
        <f t="shared" si="47"/>
        <v>0</v>
      </c>
      <c r="N380" s="23">
        <f t="shared" si="55"/>
        <v>0.78230223099999996</v>
      </c>
      <c r="O380" s="18">
        <f t="shared" si="48"/>
        <v>782.30223100000001</v>
      </c>
    </row>
    <row r="381" spans="2:15" ht="25.5">
      <c r="B381" s="12">
        <v>378</v>
      </c>
      <c r="C381" s="13" t="s">
        <v>911</v>
      </c>
      <c r="D381" s="14" t="s">
        <v>912</v>
      </c>
      <c r="E381" s="14" t="s">
        <v>906</v>
      </c>
      <c r="F381" s="15">
        <v>1</v>
      </c>
      <c r="G381" s="16">
        <v>1</v>
      </c>
      <c r="H381" s="17">
        <f>F381 * G381 * 301.228248</f>
        <v>301.22824800000001</v>
      </c>
      <c r="I381" s="17">
        <f>F381 * G381 * 2.284015</f>
        <v>2.2840150000000001</v>
      </c>
      <c r="J381" s="17">
        <f t="shared" si="54"/>
        <v>0</v>
      </c>
      <c r="K381" s="17">
        <f>F381 * G381 * 301.830704999999</f>
        <v>301.830704999999</v>
      </c>
      <c r="L381" s="17">
        <f>F381 * G381 * 110.475092</f>
        <v>110.475092</v>
      </c>
      <c r="M381" s="17">
        <f t="shared" si="47"/>
        <v>0</v>
      </c>
      <c r="N381" s="23">
        <f t="shared" si="55"/>
        <v>0.71581805999999903</v>
      </c>
      <c r="O381" s="18">
        <f t="shared" si="48"/>
        <v>715.81805999999904</v>
      </c>
    </row>
    <row r="382" spans="2:15" ht="25.5">
      <c r="B382" s="12">
        <v>379</v>
      </c>
      <c r="C382" s="13" t="s">
        <v>913</v>
      </c>
      <c r="D382" s="14" t="s">
        <v>914</v>
      </c>
      <c r="E382" s="14" t="s">
        <v>906</v>
      </c>
      <c r="F382" s="15">
        <v>1</v>
      </c>
      <c r="G382" s="16">
        <v>1</v>
      </c>
      <c r="H382" s="17">
        <f>F382 * G382 * 357.194152</f>
        <v>357.19415199999997</v>
      </c>
      <c r="I382" s="17">
        <f>F382 * G382 * 2.687077</f>
        <v>2.6870769999999999</v>
      </c>
      <c r="J382" s="17">
        <f t="shared" si="54"/>
        <v>0</v>
      </c>
      <c r="K382" s="17">
        <f>F382 * G382 * 357.90854</f>
        <v>357.90854000000002</v>
      </c>
      <c r="L382" s="17">
        <f>F382 * G382 * 130.996633</f>
        <v>130.996633</v>
      </c>
      <c r="M382" s="17">
        <f t="shared" si="47"/>
        <v>0</v>
      </c>
      <c r="N382" s="23">
        <f t="shared" si="55"/>
        <v>0.848786402</v>
      </c>
      <c r="O382" s="18">
        <f t="shared" si="48"/>
        <v>848.78640199999995</v>
      </c>
    </row>
    <row r="383" spans="2:15" ht="25.5">
      <c r="B383" s="12">
        <v>380</v>
      </c>
      <c r="C383" s="13" t="s">
        <v>915</v>
      </c>
      <c r="D383" s="14" t="s">
        <v>916</v>
      </c>
      <c r="E383" s="14" t="s">
        <v>906</v>
      </c>
      <c r="F383" s="15">
        <v>1</v>
      </c>
      <c r="G383" s="16">
        <v>1</v>
      </c>
      <c r="H383" s="17">
        <f>F383 * G383 * 411.514</f>
        <v>411.51400000000001</v>
      </c>
      <c r="I383" s="17">
        <f>F383 * G383 * 3.090138</f>
        <v>3.0901380000000001</v>
      </c>
      <c r="J383" s="17">
        <f t="shared" si="54"/>
        <v>0</v>
      </c>
      <c r="K383" s="17">
        <f>F383 * G383 * 412.337028</f>
        <v>412.33702799999998</v>
      </c>
      <c r="L383" s="17">
        <f>F383 * G383 * 150.916762</f>
        <v>150.91676200000001</v>
      </c>
      <c r="M383" s="17">
        <f t="shared" si="47"/>
        <v>0</v>
      </c>
      <c r="N383" s="23">
        <f t="shared" si="55"/>
        <v>0.97785792800000015</v>
      </c>
      <c r="O383" s="18">
        <f t="shared" si="48"/>
        <v>977.85792800000013</v>
      </c>
    </row>
    <row r="384" spans="2:15" ht="25.5">
      <c r="B384" s="12">
        <v>381</v>
      </c>
      <c r="C384" s="13" t="s">
        <v>917</v>
      </c>
      <c r="D384" s="14" t="s">
        <v>918</v>
      </c>
      <c r="E384" s="14" t="s">
        <v>906</v>
      </c>
      <c r="F384" s="15">
        <v>1</v>
      </c>
      <c r="G384" s="16">
        <v>1</v>
      </c>
      <c r="H384" s="17">
        <f>F384 * G384 * 357.194152</f>
        <v>357.19415199999997</v>
      </c>
      <c r="I384" s="17">
        <f>F384 * G384 * 2.687077</f>
        <v>2.6870769999999999</v>
      </c>
      <c r="J384" s="17">
        <f t="shared" si="54"/>
        <v>0</v>
      </c>
      <c r="K384" s="17">
        <f>F384 * G384 * 357.90854</f>
        <v>357.90854000000002</v>
      </c>
      <c r="L384" s="17">
        <f>F384 * G384 * 130.996633</f>
        <v>130.996633</v>
      </c>
      <c r="M384" s="17">
        <f t="shared" si="47"/>
        <v>0</v>
      </c>
      <c r="N384" s="23">
        <f t="shared" si="55"/>
        <v>0.848786402</v>
      </c>
      <c r="O384" s="18">
        <f t="shared" si="48"/>
        <v>848.78640199999995</v>
      </c>
    </row>
    <row r="385" spans="2:15" ht="25.5">
      <c r="B385" s="12">
        <v>382</v>
      </c>
      <c r="C385" s="13" t="s">
        <v>919</v>
      </c>
      <c r="D385" s="14" t="s">
        <v>920</v>
      </c>
      <c r="E385" s="14" t="s">
        <v>906</v>
      </c>
      <c r="F385" s="15">
        <v>1</v>
      </c>
      <c r="G385" s="16">
        <v>1</v>
      </c>
      <c r="H385" s="17">
        <f>F385 * G385 * 411.514</f>
        <v>411.51400000000001</v>
      </c>
      <c r="I385" s="17">
        <f>F385 * G385 * 3.090138</f>
        <v>3.0901380000000001</v>
      </c>
      <c r="J385" s="17">
        <f t="shared" si="54"/>
        <v>0</v>
      </c>
      <c r="K385" s="17">
        <f>F385 * G385 * 412.337028</f>
        <v>412.33702799999998</v>
      </c>
      <c r="L385" s="17">
        <f>F385 * G385 * 150.916762</f>
        <v>150.91676200000001</v>
      </c>
      <c r="M385" s="17">
        <f t="shared" si="47"/>
        <v>0</v>
      </c>
      <c r="N385" s="23">
        <f t="shared" si="55"/>
        <v>0.97785792800000015</v>
      </c>
      <c r="O385" s="18">
        <f t="shared" si="48"/>
        <v>977.85792800000013</v>
      </c>
    </row>
    <row r="386" spans="2:15" ht="25.5">
      <c r="B386" s="12">
        <v>383</v>
      </c>
      <c r="C386" s="13" t="s">
        <v>921</v>
      </c>
      <c r="D386" s="14" t="s">
        <v>922</v>
      </c>
      <c r="E386" s="14" t="s">
        <v>906</v>
      </c>
      <c r="F386" s="15">
        <v>1</v>
      </c>
      <c r="G386" s="16">
        <v>1</v>
      </c>
      <c r="H386" s="17">
        <f>F386 * G386 * 465.833848</f>
        <v>465.83384799999999</v>
      </c>
      <c r="I386" s="17">
        <f>F386 * G386 * 3.4932</f>
        <v>3.4931999999999999</v>
      </c>
      <c r="J386" s="17">
        <f t="shared" si="54"/>
        <v>0</v>
      </c>
      <c r="K386" s="17">
        <f>F386 * G386 * 466.765516</f>
        <v>466.76551599999999</v>
      </c>
      <c r="L386" s="17">
        <f>F386 * G386 * 170.836893</f>
        <v>170.836893</v>
      </c>
      <c r="M386" s="17">
        <f t="shared" si="47"/>
        <v>0</v>
      </c>
      <c r="N386" s="23">
        <f t="shared" si="55"/>
        <v>1.1069294569999999</v>
      </c>
      <c r="O386" s="18">
        <f t="shared" si="48"/>
        <v>1106.929457</v>
      </c>
    </row>
    <row r="387" spans="2:15" ht="25.5">
      <c r="B387" s="12">
        <v>384</v>
      </c>
      <c r="C387" s="13" t="s">
        <v>923</v>
      </c>
      <c r="D387" s="14" t="s">
        <v>924</v>
      </c>
      <c r="E387" s="14" t="s">
        <v>925</v>
      </c>
      <c r="F387" s="15">
        <v>1</v>
      </c>
      <c r="G387" s="16">
        <v>1</v>
      </c>
      <c r="H387" s="17">
        <f>F387 * G387 * 10974.255352</f>
        <v>10974.255352</v>
      </c>
      <c r="I387" s="17">
        <f>F387 * G387 * 0</f>
        <v>0</v>
      </c>
      <c r="J387" s="17">
        <f t="shared" si="54"/>
        <v>0</v>
      </c>
      <c r="K387" s="17">
        <f>F387 * G387 * 10996.203862</f>
        <v>10996.203862</v>
      </c>
      <c r="L387" s="17">
        <f>F387 * G387 * 4009.60880699999</f>
        <v>4009.6088069999901</v>
      </c>
      <c r="M387" s="17">
        <f t="shared" si="47"/>
        <v>0</v>
      </c>
      <c r="N387" s="23">
        <f>O387/G387/F387/100000</f>
        <v>0.25980068020999991</v>
      </c>
      <c r="O387" s="18">
        <f t="shared" si="48"/>
        <v>25980.068020999992</v>
      </c>
    </row>
    <row r="388" spans="2:15" ht="25.5">
      <c r="B388" s="12">
        <v>385</v>
      </c>
      <c r="C388" s="13" t="s">
        <v>926</v>
      </c>
      <c r="D388" s="14" t="s">
        <v>927</v>
      </c>
      <c r="E388" s="14" t="s">
        <v>925</v>
      </c>
      <c r="F388" s="15">
        <v>1</v>
      </c>
      <c r="G388" s="16">
        <v>1</v>
      </c>
      <c r="H388" s="17">
        <f>F388 * G388 * 19204.535352</f>
        <v>19204.535351999999</v>
      </c>
      <c r="I388" s="17">
        <f>F388 * G388 * 0</f>
        <v>0</v>
      </c>
      <c r="J388" s="17">
        <f t="shared" si="54"/>
        <v>0</v>
      </c>
      <c r="K388" s="17">
        <f>F388 * G388 * 19242.944422</f>
        <v>19242.944422</v>
      </c>
      <c r="L388" s="17">
        <f>F388 * G388 * 7016.66505899999</f>
        <v>7016.6650589999899</v>
      </c>
      <c r="M388" s="17">
        <f t="shared" ref="M388:M451" si="56">F388 * G388 * 0</f>
        <v>0</v>
      </c>
      <c r="N388" s="23">
        <f t="shared" ref="N388:N391" si="57">O388/G388/F388/100000</f>
        <v>0.45464144832999992</v>
      </c>
      <c r="O388" s="18">
        <f t="shared" ref="O388:O451" si="58">SUM(H388:M388)</f>
        <v>45464.144832999991</v>
      </c>
    </row>
    <row r="389" spans="2:15" ht="25.5">
      <c r="B389" s="12">
        <v>386</v>
      </c>
      <c r="C389" s="13" t="s">
        <v>928</v>
      </c>
      <c r="D389" s="14" t="s">
        <v>929</v>
      </c>
      <c r="E389" s="14" t="s">
        <v>925</v>
      </c>
      <c r="F389" s="15">
        <v>1</v>
      </c>
      <c r="G389" s="16">
        <v>1</v>
      </c>
      <c r="H389" s="17">
        <f>F389 * G389 * 21946.864648</f>
        <v>21946.864647999999</v>
      </c>
      <c r="I389" s="17">
        <f>F389 * G389 * 0</f>
        <v>0</v>
      </c>
      <c r="J389" s="17">
        <f t="shared" si="54"/>
        <v>0</v>
      </c>
      <c r="K389" s="17">
        <f>F389 * G389 * 21990.7583779999</f>
        <v>21990.7583779999</v>
      </c>
      <c r="L389" s="17">
        <f>F389 * G389 * 8018.61620199999</f>
        <v>8018.6162019999902</v>
      </c>
      <c r="M389" s="17">
        <f t="shared" si="56"/>
        <v>0</v>
      </c>
      <c r="N389" s="23">
        <f t="shared" si="57"/>
        <v>0.5195623922799989</v>
      </c>
      <c r="O389" s="18">
        <f t="shared" si="58"/>
        <v>51956.239227999889</v>
      </c>
    </row>
    <row r="390" spans="2:15" ht="25.5">
      <c r="B390" s="12">
        <v>387</v>
      </c>
      <c r="C390" s="13" t="s">
        <v>930</v>
      </c>
      <c r="D390" s="14" t="s">
        <v>931</v>
      </c>
      <c r="E390" s="14" t="s">
        <v>925</v>
      </c>
      <c r="F390" s="15">
        <v>1</v>
      </c>
      <c r="G390" s="16">
        <v>2</v>
      </c>
      <c r="H390" s="17">
        <f>F390 * G390 * 192040.415352</f>
        <v>384080.83070400002</v>
      </c>
      <c r="I390" s="17">
        <f>F390 * G390 * 1444.773975</f>
        <v>2889.5479500000001</v>
      </c>
      <c r="J390" s="17">
        <f t="shared" si="54"/>
        <v>0</v>
      </c>
      <c r="K390" s="17">
        <f>F390 * G390 * 192424.496182</f>
        <v>384848.99236400001</v>
      </c>
      <c r="L390" s="17">
        <f>F390 * G390 * 70428.517605</f>
        <v>140857.03521</v>
      </c>
      <c r="M390" s="17">
        <f t="shared" si="56"/>
        <v>0</v>
      </c>
      <c r="N390" s="23">
        <f t="shared" si="57"/>
        <v>4.5633820311399997</v>
      </c>
      <c r="O390" s="18">
        <f t="shared" si="58"/>
        <v>912676.40622799995</v>
      </c>
    </row>
    <row r="391" spans="2:15">
      <c r="B391" s="12">
        <v>388</v>
      </c>
      <c r="C391" s="13" t="s">
        <v>932</v>
      </c>
      <c r="D391" s="14" t="s">
        <v>933</v>
      </c>
      <c r="E391" s="14" t="s">
        <v>934</v>
      </c>
      <c r="F391" s="15">
        <v>1</v>
      </c>
      <c r="G391" s="16">
        <v>80</v>
      </c>
      <c r="H391" s="17">
        <f>F391 * G391 * 21123.836648</f>
        <v>1689906.93184</v>
      </c>
      <c r="I391" s="17">
        <f>F391 * G391 * 161.224603</f>
        <v>12897.96824</v>
      </c>
      <c r="J391" s="17">
        <f t="shared" si="54"/>
        <v>0</v>
      </c>
      <c r="K391" s="17">
        <f>F391 * G391 * 21166.084322</f>
        <v>1693286.7457599998</v>
      </c>
      <c r="L391" s="17">
        <f>F391 * G391 * 7747.334067</f>
        <v>619786.72536000004</v>
      </c>
      <c r="M391" s="17">
        <f t="shared" si="56"/>
        <v>0</v>
      </c>
      <c r="N391" s="23">
        <f t="shared" si="57"/>
        <v>0.50198479639999993</v>
      </c>
      <c r="O391" s="18">
        <f t="shared" si="58"/>
        <v>4015878.3711999999</v>
      </c>
    </row>
    <row r="392" spans="2:15">
      <c r="B392" s="12">
        <v>389</v>
      </c>
      <c r="C392" s="13" t="s">
        <v>935</v>
      </c>
      <c r="D392" s="14" t="s">
        <v>936</v>
      </c>
      <c r="E392" s="14" t="s">
        <v>937</v>
      </c>
      <c r="F392" s="15">
        <v>1</v>
      </c>
      <c r="G392" s="16">
        <v>1</v>
      </c>
      <c r="H392" s="17">
        <f>F392 * G392 * 16460.56</f>
        <v>16460.560000000001</v>
      </c>
      <c r="I392" s="17">
        <f>F392 * G392 * 0</f>
        <v>0</v>
      </c>
      <c r="J392" s="17">
        <f t="shared" si="54"/>
        <v>0</v>
      </c>
      <c r="K392" s="17">
        <f>F392 * G392 * 16493.48112</f>
        <v>16493.48112</v>
      </c>
      <c r="L392" s="17">
        <f>F392 * G392 * 6014.112504</f>
        <v>6014.1125039999997</v>
      </c>
      <c r="M392" s="17">
        <f t="shared" si="56"/>
        <v>0</v>
      </c>
      <c r="N392" s="23">
        <f>O392/G392/F392/100000</f>
        <v>0.38968153623999996</v>
      </c>
      <c r="O392" s="18">
        <f t="shared" si="58"/>
        <v>38968.153623999999</v>
      </c>
    </row>
    <row r="393" spans="2:15">
      <c r="B393" s="12">
        <v>390</v>
      </c>
      <c r="C393" s="13" t="s">
        <v>938</v>
      </c>
      <c r="D393" s="14" t="s">
        <v>939</v>
      </c>
      <c r="E393" s="14" t="s">
        <v>940</v>
      </c>
      <c r="F393" s="15">
        <v>1</v>
      </c>
      <c r="G393" s="16">
        <v>1</v>
      </c>
      <c r="H393" s="17">
        <f>F393 * G393 * 173.204514</f>
        <v>173.20451399999999</v>
      </c>
      <c r="I393" s="17">
        <f>F393 * G393 * 40.306151</f>
        <v>40.306151</v>
      </c>
      <c r="J393" s="17">
        <f>F393 * G393 * 79.08</f>
        <v>79.08</v>
      </c>
      <c r="K393" s="17">
        <f>F393 * G393 * 173.550923</f>
        <v>173.55092300000001</v>
      </c>
      <c r="L393" s="17">
        <f>F393 * G393 * 85.07084</f>
        <v>85.070840000000004</v>
      </c>
      <c r="M393" s="17">
        <f t="shared" si="56"/>
        <v>0</v>
      </c>
      <c r="N393" s="23">
        <f t="shared" si="53"/>
        <v>5.5121242800000001</v>
      </c>
      <c r="O393" s="18">
        <f t="shared" si="58"/>
        <v>551.21242800000005</v>
      </c>
    </row>
    <row r="394" spans="2:15">
      <c r="B394" s="12">
        <v>391</v>
      </c>
      <c r="C394" s="13" t="s">
        <v>941</v>
      </c>
      <c r="D394" s="14" t="s">
        <v>942</v>
      </c>
      <c r="E394" s="14" t="s">
        <v>943</v>
      </c>
      <c r="F394" s="15">
        <v>1</v>
      </c>
      <c r="G394" s="16">
        <v>1</v>
      </c>
      <c r="H394" s="17">
        <f>F394 * G394 * 396.699496</f>
        <v>396.69949600000001</v>
      </c>
      <c r="I394" s="17">
        <f>F394 * G394 * 671.76918</f>
        <v>671.76918000000001</v>
      </c>
      <c r="J394" s="17">
        <f>F394 * G394 * 0</f>
        <v>0</v>
      </c>
      <c r="K394" s="17">
        <f>F394 * G394 * 397.492895</f>
        <v>397.49289499999998</v>
      </c>
      <c r="L394" s="17">
        <f>F394 * G394 * 267.537987</f>
        <v>267.53798699999999</v>
      </c>
      <c r="M394" s="17">
        <f t="shared" si="56"/>
        <v>0</v>
      </c>
      <c r="N394" s="23">
        <f t="shared" si="53"/>
        <v>17.334995579999998</v>
      </c>
      <c r="O394" s="18">
        <f t="shared" si="58"/>
        <v>1733.4995579999998</v>
      </c>
    </row>
    <row r="395" spans="2:15">
      <c r="B395" s="12">
        <v>392</v>
      </c>
      <c r="C395" s="13" t="s">
        <v>944</v>
      </c>
      <c r="D395" s="14" t="s">
        <v>945</v>
      </c>
      <c r="E395" s="14" t="s">
        <v>946</v>
      </c>
      <c r="F395" s="15">
        <v>1</v>
      </c>
      <c r="G395" s="16">
        <v>1</v>
      </c>
      <c r="H395" s="17">
        <f>F395 * G395 * 185690.4</f>
        <v>185690.4</v>
      </c>
      <c r="I395" s="17">
        <f t="shared" ref="I395:I400" si="59">F395 * G395 * 0</f>
        <v>0</v>
      </c>
      <c r="J395" s="17">
        <f>F395 * G395 * 208677.12</f>
        <v>208677.12</v>
      </c>
      <c r="K395" s="17">
        <f>F395 * G395 * 243663.961212</f>
        <v>243663.96121199999</v>
      </c>
      <c r="L395" s="17">
        <f>F395 * G395 * 116440.745321</f>
        <v>116440.74532099999</v>
      </c>
      <c r="M395" s="17">
        <f t="shared" si="56"/>
        <v>0</v>
      </c>
      <c r="N395" s="23">
        <f t="shared" si="53"/>
        <v>7544.7222653300005</v>
      </c>
      <c r="O395" s="18">
        <f t="shared" si="58"/>
        <v>754472.22653300001</v>
      </c>
    </row>
    <row r="396" spans="2:15">
      <c r="B396" s="12">
        <v>393</v>
      </c>
      <c r="C396" s="13" t="s">
        <v>947</v>
      </c>
      <c r="D396" s="14" t="s">
        <v>948</v>
      </c>
      <c r="E396" s="14" t="s">
        <v>946</v>
      </c>
      <c r="F396" s="15">
        <v>1</v>
      </c>
      <c r="G396" s="16">
        <v>1</v>
      </c>
      <c r="H396" s="17">
        <f>F396 * G396 * 59515.921125</f>
        <v>59515.921125000001</v>
      </c>
      <c r="I396" s="17">
        <f t="shared" si="59"/>
        <v>0</v>
      </c>
      <c r="J396" s="17">
        <f>F396 * G396 * 0</f>
        <v>0</v>
      </c>
      <c r="K396" s="17">
        <f>F396 * G396 * 59634.952968</f>
        <v>59634.952967999998</v>
      </c>
      <c r="L396" s="17">
        <f>F396 * G396 * 21745.034522</f>
        <v>21745.034522000002</v>
      </c>
      <c r="M396" s="17">
        <f t="shared" si="56"/>
        <v>0</v>
      </c>
      <c r="N396" s="23">
        <f t="shared" si="53"/>
        <v>1408.9590861499998</v>
      </c>
      <c r="O396" s="18">
        <f t="shared" si="58"/>
        <v>140895.90861499999</v>
      </c>
    </row>
    <row r="397" spans="2:15" ht="25.5">
      <c r="B397" s="12">
        <v>394</v>
      </c>
      <c r="C397" s="13" t="s">
        <v>949</v>
      </c>
      <c r="D397" s="14" t="s">
        <v>950</v>
      </c>
      <c r="E397" s="14" t="s">
        <v>946</v>
      </c>
      <c r="F397" s="15">
        <v>1</v>
      </c>
      <c r="G397" s="16">
        <v>1</v>
      </c>
      <c r="H397" s="17">
        <f>F397 * G397 * 105224.56</f>
        <v>105224.56</v>
      </c>
      <c r="I397" s="17">
        <f t="shared" si="59"/>
        <v>0</v>
      </c>
      <c r="J397" s="17">
        <f>F397 * G397 * 37023.36</f>
        <v>37023.360000000001</v>
      </c>
      <c r="K397" s="17">
        <f>F397 * G397 * 115654.750806</f>
        <v>115654.750806</v>
      </c>
      <c r="L397" s="17">
        <f>F397 * G397 * 47067.237422</f>
        <v>47067.237421999998</v>
      </c>
      <c r="M397" s="17">
        <f t="shared" si="56"/>
        <v>0</v>
      </c>
      <c r="N397" s="23">
        <f t="shared" si="53"/>
        <v>3049.6990822799999</v>
      </c>
      <c r="O397" s="18">
        <f t="shared" si="58"/>
        <v>304969.90822799999</v>
      </c>
    </row>
    <row r="398" spans="2:15">
      <c r="B398" s="12">
        <v>395</v>
      </c>
      <c r="C398" s="13" t="s">
        <v>951</v>
      </c>
      <c r="D398" s="14" t="s">
        <v>952</v>
      </c>
      <c r="E398" s="14" t="s">
        <v>953</v>
      </c>
      <c r="F398" s="15">
        <v>1</v>
      </c>
      <c r="G398" s="16">
        <v>1</v>
      </c>
      <c r="H398" s="17">
        <f>F398 * G398 * 208901.7</f>
        <v>208901.7</v>
      </c>
      <c r="I398" s="17">
        <f t="shared" si="59"/>
        <v>0</v>
      </c>
      <c r="J398" s="17">
        <f t="shared" ref="J398:J414" si="60">F398 * G398 * 0</f>
        <v>0</v>
      </c>
      <c r="K398" s="17">
        <f>F398 * G398 * 209319.5034</f>
        <v>209319.50339999999</v>
      </c>
      <c r="L398" s="17">
        <f>F398 * G398 * 76325.369621</f>
        <v>76325.369621000005</v>
      </c>
      <c r="M398" s="17">
        <f t="shared" si="56"/>
        <v>0</v>
      </c>
      <c r="N398" s="23">
        <f>O398/G398/F398/1000</f>
        <v>494.54657302100003</v>
      </c>
      <c r="O398" s="18">
        <f t="shared" si="58"/>
        <v>494546.57302100002</v>
      </c>
    </row>
    <row r="399" spans="2:15">
      <c r="B399" s="12">
        <v>396</v>
      </c>
      <c r="C399" s="13" t="s">
        <v>954</v>
      </c>
      <c r="D399" s="14" t="s">
        <v>955</v>
      </c>
      <c r="E399" s="14" t="s">
        <v>953</v>
      </c>
      <c r="F399" s="15">
        <v>1</v>
      </c>
      <c r="G399" s="16">
        <v>1</v>
      </c>
      <c r="H399" s="17">
        <f>F399 * G399 * 77371</f>
        <v>77371</v>
      </c>
      <c r="I399" s="17">
        <f t="shared" si="59"/>
        <v>0</v>
      </c>
      <c r="J399" s="17">
        <f t="shared" si="60"/>
        <v>0</v>
      </c>
      <c r="K399" s="17">
        <f>F399 * G399 * 77525.742</f>
        <v>77525.741999999998</v>
      </c>
      <c r="L399" s="17">
        <f>F399 * G399 * 28268.6554149999</f>
        <v>28268.655414999899</v>
      </c>
      <c r="M399" s="17">
        <f t="shared" si="56"/>
        <v>0</v>
      </c>
      <c r="N399" s="23">
        <f t="shared" ref="N399:N401" si="61">O399/G399/F399/1000</f>
        <v>183.16539741499989</v>
      </c>
      <c r="O399" s="18">
        <f t="shared" si="58"/>
        <v>183165.3974149999</v>
      </c>
    </row>
    <row r="400" spans="2:15">
      <c r="B400" s="12">
        <v>397</v>
      </c>
      <c r="C400" s="13" t="s">
        <v>956</v>
      </c>
      <c r="D400" s="14" t="s">
        <v>957</v>
      </c>
      <c r="E400" s="14" t="s">
        <v>958</v>
      </c>
      <c r="F400" s="15">
        <v>1</v>
      </c>
      <c r="G400" s="16">
        <v>1</v>
      </c>
      <c r="H400" s="17">
        <f>F400 * G400 * 43327.76</f>
        <v>43327.76</v>
      </c>
      <c r="I400" s="17">
        <f t="shared" si="59"/>
        <v>0</v>
      </c>
      <c r="J400" s="17">
        <f t="shared" si="60"/>
        <v>0</v>
      </c>
      <c r="K400" s="17">
        <f>F400 * G400 * 43414.41552</f>
        <v>43414.415520000002</v>
      </c>
      <c r="L400" s="17">
        <f>F400 * G400 * 15830.447032</f>
        <v>15830.447032</v>
      </c>
      <c r="M400" s="17">
        <f t="shared" si="56"/>
        <v>0</v>
      </c>
      <c r="N400" s="23">
        <f t="shared" si="61"/>
        <v>102.572622552</v>
      </c>
      <c r="O400" s="18">
        <f t="shared" si="58"/>
        <v>102572.622552</v>
      </c>
    </row>
    <row r="401" spans="2:15">
      <c r="B401" s="12">
        <v>398</v>
      </c>
      <c r="C401" s="13" t="s">
        <v>959</v>
      </c>
      <c r="D401" s="14" t="s">
        <v>960</v>
      </c>
      <c r="E401" s="14" t="s">
        <v>958</v>
      </c>
      <c r="F401" s="15">
        <v>1</v>
      </c>
      <c r="G401" s="16">
        <v>1</v>
      </c>
      <c r="H401" s="17">
        <f>F401 * G401 * 378.59288</f>
        <v>378.59287999999998</v>
      </c>
      <c r="I401" s="17">
        <f>F401 * G401 * 1.948131</f>
        <v>1.9481310000000001</v>
      </c>
      <c r="J401" s="17">
        <f t="shared" si="60"/>
        <v>0</v>
      </c>
      <c r="K401" s="17">
        <f>F401 * G401 * 379.350065999999</f>
        <v>379.350065999999</v>
      </c>
      <c r="L401" s="17">
        <f>F401 * G401 * 138.680122</f>
        <v>138.68012200000001</v>
      </c>
      <c r="M401" s="17">
        <f t="shared" si="56"/>
        <v>0</v>
      </c>
      <c r="N401" s="23">
        <f t="shared" si="61"/>
        <v>0.89857119899999893</v>
      </c>
      <c r="O401" s="18">
        <f t="shared" si="58"/>
        <v>898.57119899999896</v>
      </c>
    </row>
    <row r="402" spans="2:15">
      <c r="B402" s="12">
        <v>399</v>
      </c>
      <c r="C402" s="13" t="s">
        <v>961</v>
      </c>
      <c r="D402" s="14" t="s">
        <v>962</v>
      </c>
      <c r="E402" s="14" t="s">
        <v>963</v>
      </c>
      <c r="F402" s="15">
        <v>1</v>
      </c>
      <c r="G402" s="16">
        <v>1</v>
      </c>
      <c r="H402" s="17">
        <f>F402 * G402 * 74.453198</f>
        <v>74.453198</v>
      </c>
      <c r="I402" s="17">
        <f>F402 * G402 * 26.210251</f>
        <v>26.210251</v>
      </c>
      <c r="J402" s="17">
        <f t="shared" si="60"/>
        <v>0</v>
      </c>
      <c r="K402" s="17">
        <f>F402 * G402 * 74.602105</f>
        <v>74.602104999999995</v>
      </c>
      <c r="L402" s="17">
        <f>F402 * G402 * 31.985964</f>
        <v>31.985963999999999</v>
      </c>
      <c r="M402" s="17">
        <f t="shared" si="56"/>
        <v>0</v>
      </c>
      <c r="N402" s="23">
        <f>O402/G402/F402</f>
        <v>207.251518</v>
      </c>
      <c r="O402" s="18">
        <f t="shared" si="58"/>
        <v>207.251518</v>
      </c>
    </row>
    <row r="403" spans="2:15">
      <c r="B403" s="12">
        <v>400</v>
      </c>
      <c r="C403" s="13" t="s">
        <v>964</v>
      </c>
      <c r="D403" s="14" t="s">
        <v>965</v>
      </c>
      <c r="E403" s="14" t="s">
        <v>963</v>
      </c>
      <c r="F403" s="15">
        <v>1</v>
      </c>
      <c r="G403" s="16">
        <v>1</v>
      </c>
      <c r="H403" s="17">
        <f>F403 * G403 * 62.789646</f>
        <v>62.789645999999998</v>
      </c>
      <c r="I403" s="17">
        <f>F403 * G403 * 59.532556</f>
        <v>59.532556</v>
      </c>
      <c r="J403" s="17">
        <f t="shared" si="60"/>
        <v>0</v>
      </c>
      <c r="K403" s="17">
        <f>F403 * G403 * 62.9152249999999</f>
        <v>62.9152249999999</v>
      </c>
      <c r="L403" s="17">
        <f>F403 * G403 * 33.80583</f>
        <v>33.80583</v>
      </c>
      <c r="M403" s="17">
        <f t="shared" si="56"/>
        <v>0</v>
      </c>
      <c r="N403" s="23">
        <f t="shared" ref="N403:N425" si="62">O403/G403/F403</f>
        <v>219.04325699999993</v>
      </c>
      <c r="O403" s="18">
        <f t="shared" si="58"/>
        <v>219.04325699999993</v>
      </c>
    </row>
    <row r="404" spans="2:15">
      <c r="B404" s="12">
        <v>401</v>
      </c>
      <c r="C404" s="13" t="s">
        <v>966</v>
      </c>
      <c r="D404" s="14" t="s">
        <v>967</v>
      </c>
      <c r="E404" s="14" t="s">
        <v>963</v>
      </c>
      <c r="F404" s="15">
        <v>1</v>
      </c>
      <c r="G404" s="16">
        <v>1</v>
      </c>
      <c r="H404" s="17">
        <f>F404 * G404 * 213.854553</f>
        <v>213.85455300000001</v>
      </c>
      <c r="I404" s="17">
        <f>F404 * G404 * 48.687913</f>
        <v>48.687913000000002</v>
      </c>
      <c r="J404" s="17">
        <f t="shared" si="60"/>
        <v>0</v>
      </c>
      <c r="K404" s="17">
        <f>F404 * G404 * 214.282262</f>
        <v>214.282262</v>
      </c>
      <c r="L404" s="17">
        <f>F404 * G404 * 87.020513</f>
        <v>87.020512999999994</v>
      </c>
      <c r="M404" s="17">
        <f t="shared" si="56"/>
        <v>0</v>
      </c>
      <c r="N404" s="23">
        <f t="shared" si="62"/>
        <v>563.84524099999999</v>
      </c>
      <c r="O404" s="18">
        <f t="shared" si="58"/>
        <v>563.84524099999999</v>
      </c>
    </row>
    <row r="405" spans="2:15">
      <c r="B405" s="12">
        <v>402</v>
      </c>
      <c r="C405" s="13" t="s">
        <v>968</v>
      </c>
      <c r="D405" s="14" t="s">
        <v>969</v>
      </c>
      <c r="E405" s="14" t="s">
        <v>970</v>
      </c>
      <c r="F405" s="15">
        <v>1</v>
      </c>
      <c r="G405" s="16">
        <v>1</v>
      </c>
      <c r="H405" s="17">
        <f>F405 * G405 * 104.629666</f>
        <v>104.629666</v>
      </c>
      <c r="I405" s="17">
        <f>F405 * G405 * 36.458312</f>
        <v>36.458311999999999</v>
      </c>
      <c r="J405" s="17">
        <f t="shared" si="60"/>
        <v>0</v>
      </c>
      <c r="K405" s="17">
        <f>F405 * G405 * 104.838924999999</f>
        <v>104.83892499999899</v>
      </c>
      <c r="L405" s="17">
        <f>F405 * G405 * 44.88166</f>
        <v>44.881659999999997</v>
      </c>
      <c r="M405" s="17">
        <f t="shared" si="56"/>
        <v>0</v>
      </c>
      <c r="N405" s="23">
        <f t="shared" si="62"/>
        <v>290.80856299999897</v>
      </c>
      <c r="O405" s="18">
        <f t="shared" si="58"/>
        <v>290.80856299999897</v>
      </c>
    </row>
    <row r="406" spans="2:15">
      <c r="B406" s="12">
        <v>403</v>
      </c>
      <c r="C406" s="13" t="s">
        <v>971</v>
      </c>
      <c r="D406" s="14" t="s">
        <v>972</v>
      </c>
      <c r="E406" s="14" t="s">
        <v>970</v>
      </c>
      <c r="F406" s="15">
        <v>1</v>
      </c>
      <c r="G406" s="16">
        <v>1</v>
      </c>
      <c r="H406" s="17">
        <f>F406 * G406 * 106.397059</f>
        <v>106.397059</v>
      </c>
      <c r="I406" s="17">
        <f>F406 * G406 * 37.236098</f>
        <v>37.236097999999998</v>
      </c>
      <c r="J406" s="17">
        <f t="shared" si="60"/>
        <v>0</v>
      </c>
      <c r="K406" s="17">
        <f>F406 * G406 * 106.609853</f>
        <v>106.609853</v>
      </c>
      <c r="L406" s="17">
        <f>F406 * G406 * 45.6693499999999</f>
        <v>45.669349999999902</v>
      </c>
      <c r="M406" s="17">
        <f t="shared" si="56"/>
        <v>0</v>
      </c>
      <c r="N406" s="23">
        <f t="shared" si="62"/>
        <v>295.91235999999986</v>
      </c>
      <c r="O406" s="18">
        <f t="shared" si="58"/>
        <v>295.91235999999986</v>
      </c>
    </row>
    <row r="407" spans="2:15">
      <c r="B407" s="12">
        <v>404</v>
      </c>
      <c r="C407" s="13" t="s">
        <v>973</v>
      </c>
      <c r="D407" s="14" t="s">
        <v>974</v>
      </c>
      <c r="E407" s="14" t="s">
        <v>975</v>
      </c>
      <c r="F407" s="15">
        <v>1</v>
      </c>
      <c r="G407" s="16">
        <v>1</v>
      </c>
      <c r="H407" s="17">
        <f>F407 * G407 * 106.573798</f>
        <v>106.573798</v>
      </c>
      <c r="I407" s="17">
        <f>F407 * G407 * 37.838818</f>
        <v>37.838818000000003</v>
      </c>
      <c r="J407" s="17">
        <f t="shared" si="60"/>
        <v>0</v>
      </c>
      <c r="K407" s="17">
        <f>F407 * G407 * 106.786946</f>
        <v>106.786946</v>
      </c>
      <c r="L407" s="17">
        <f>F407 * G407 * 45.84392</f>
        <v>45.843919999999997</v>
      </c>
      <c r="M407" s="17">
        <f t="shared" si="56"/>
        <v>0</v>
      </c>
      <c r="N407" s="23">
        <f t="shared" si="62"/>
        <v>297.04348200000004</v>
      </c>
      <c r="O407" s="18">
        <f t="shared" si="58"/>
        <v>297.04348200000004</v>
      </c>
    </row>
    <row r="408" spans="2:15">
      <c r="B408" s="12">
        <v>405</v>
      </c>
      <c r="C408" s="13" t="s">
        <v>976</v>
      </c>
      <c r="D408" s="14" t="s">
        <v>977</v>
      </c>
      <c r="E408" s="14" t="s">
        <v>978</v>
      </c>
      <c r="F408" s="15">
        <v>1</v>
      </c>
      <c r="G408" s="16">
        <v>1</v>
      </c>
      <c r="H408" s="17">
        <f>F408 * G408 * 114.880545</f>
        <v>114.880545</v>
      </c>
      <c r="I408" s="17">
        <f>F408 * G408 * 40.445532</f>
        <v>40.445532</v>
      </c>
      <c r="J408" s="17">
        <f t="shared" si="60"/>
        <v>0</v>
      </c>
      <c r="K408" s="17">
        <f>F408 * G408 * 115.110307</f>
        <v>115.11030700000001</v>
      </c>
      <c r="L408" s="17">
        <f>F408 * G408 * 49.35464</f>
        <v>49.354640000000003</v>
      </c>
      <c r="M408" s="17">
        <f t="shared" si="56"/>
        <v>0</v>
      </c>
      <c r="N408" s="23">
        <f t="shared" si="62"/>
        <v>319.79102399999999</v>
      </c>
      <c r="O408" s="18">
        <f t="shared" si="58"/>
        <v>319.79102399999999</v>
      </c>
    </row>
    <row r="409" spans="2:15">
      <c r="B409" s="12">
        <v>406</v>
      </c>
      <c r="C409" s="13" t="s">
        <v>979</v>
      </c>
      <c r="D409" s="14" t="s">
        <v>980</v>
      </c>
      <c r="E409" s="14" t="s">
        <v>981</v>
      </c>
      <c r="F409" s="15">
        <v>1</v>
      </c>
      <c r="G409" s="16">
        <v>1</v>
      </c>
      <c r="H409" s="17">
        <f>F409 * G409 * 245.667627</f>
        <v>245.66762700000001</v>
      </c>
      <c r="I409" s="17">
        <f>F409 * G409 * 37.487277</f>
        <v>37.487276999999999</v>
      </c>
      <c r="J409" s="17">
        <f t="shared" si="60"/>
        <v>0</v>
      </c>
      <c r="K409" s="17">
        <f>F409 * G409 * 246.158962</f>
        <v>246.158962</v>
      </c>
      <c r="L409" s="17">
        <f>F409 * G409 * 96.599781</f>
        <v>96.599780999999993</v>
      </c>
      <c r="M409" s="17">
        <f t="shared" si="56"/>
        <v>0</v>
      </c>
      <c r="N409" s="23">
        <f t="shared" si="62"/>
        <v>625.91364699999997</v>
      </c>
      <c r="O409" s="18">
        <f t="shared" si="58"/>
        <v>625.91364699999997</v>
      </c>
    </row>
    <row r="410" spans="2:15">
      <c r="B410" s="12">
        <v>407</v>
      </c>
      <c r="C410" s="13" t="s">
        <v>982</v>
      </c>
      <c r="D410" s="14" t="s">
        <v>983</v>
      </c>
      <c r="E410" s="14" t="s">
        <v>984</v>
      </c>
      <c r="F410" s="15">
        <v>1</v>
      </c>
      <c r="G410" s="16">
        <v>1</v>
      </c>
      <c r="H410" s="17">
        <f>F410 * G410 * 144.219269</f>
        <v>144.219269</v>
      </c>
      <c r="I410" s="17">
        <f>F410 * G410 * 49.560809</f>
        <v>49.560808999999999</v>
      </c>
      <c r="J410" s="17">
        <f t="shared" si="60"/>
        <v>0</v>
      </c>
      <c r="K410" s="17">
        <f>F410 * G410 * 144.507706999999</f>
        <v>144.50770699999899</v>
      </c>
      <c r="L410" s="17">
        <f>F410 * G410 * 61.737521</f>
        <v>61.737521000000001</v>
      </c>
      <c r="M410" s="17">
        <f t="shared" si="56"/>
        <v>0</v>
      </c>
      <c r="N410" s="23">
        <f t="shared" si="62"/>
        <v>400.02530599999898</v>
      </c>
      <c r="O410" s="18">
        <f t="shared" si="58"/>
        <v>400.02530599999898</v>
      </c>
    </row>
    <row r="411" spans="2:15">
      <c r="B411" s="12">
        <v>408</v>
      </c>
      <c r="C411" s="13" t="s">
        <v>985</v>
      </c>
      <c r="D411" s="14" t="s">
        <v>986</v>
      </c>
      <c r="E411" s="14" t="s">
        <v>987</v>
      </c>
      <c r="F411" s="15">
        <v>1</v>
      </c>
      <c r="G411" s="16">
        <v>1</v>
      </c>
      <c r="H411" s="17">
        <f>F411 * G411 * 167.372117</f>
        <v>167.372117</v>
      </c>
      <c r="I411" s="17">
        <f>F411 * G411 * 25.18486</f>
        <v>25.18486</v>
      </c>
      <c r="J411" s="17">
        <f t="shared" si="60"/>
        <v>0</v>
      </c>
      <c r="K411" s="17">
        <f>F411 * G411 * 167.706861</f>
        <v>167.706861</v>
      </c>
      <c r="L411" s="17">
        <f>F411 * G411 * 65.748151</f>
        <v>65.748150999999993</v>
      </c>
      <c r="M411" s="17">
        <f t="shared" si="56"/>
        <v>0</v>
      </c>
      <c r="N411" s="23">
        <f t="shared" si="62"/>
        <v>426.01198900000003</v>
      </c>
      <c r="O411" s="18">
        <f t="shared" si="58"/>
        <v>426.01198900000003</v>
      </c>
    </row>
    <row r="412" spans="2:15">
      <c r="B412" s="12">
        <v>409</v>
      </c>
      <c r="C412" s="13" t="s">
        <v>988</v>
      </c>
      <c r="D412" s="14" t="s">
        <v>989</v>
      </c>
      <c r="E412" s="14" t="s">
        <v>987</v>
      </c>
      <c r="F412" s="15">
        <v>1</v>
      </c>
      <c r="G412" s="16">
        <v>1</v>
      </c>
      <c r="H412" s="17">
        <f>F412 * G412 * 345.348592</f>
        <v>345.348592</v>
      </c>
      <c r="I412" s="17">
        <f>F412 * G412 * 51.839628</f>
        <v>51.839627999999998</v>
      </c>
      <c r="J412" s="17">
        <f t="shared" si="60"/>
        <v>0</v>
      </c>
      <c r="K412" s="17">
        <f>F412 * G412 * 346.039289</f>
        <v>346.039289</v>
      </c>
      <c r="L412" s="17">
        <f>F412 * G412 * 135.63902</f>
        <v>135.63901999999999</v>
      </c>
      <c r="M412" s="17">
        <f t="shared" si="56"/>
        <v>0</v>
      </c>
      <c r="N412" s="23">
        <f t="shared" si="62"/>
        <v>878.86652900000001</v>
      </c>
      <c r="O412" s="18">
        <f t="shared" si="58"/>
        <v>878.86652900000001</v>
      </c>
    </row>
    <row r="413" spans="2:15" ht="25.5">
      <c r="B413" s="12">
        <v>410</v>
      </c>
      <c r="C413" s="13" t="s">
        <v>990</v>
      </c>
      <c r="D413" s="14" t="s">
        <v>991</v>
      </c>
      <c r="E413" s="14" t="s">
        <v>992</v>
      </c>
      <c r="F413" s="15">
        <v>1</v>
      </c>
      <c r="G413" s="16">
        <v>1</v>
      </c>
      <c r="H413" s="17">
        <f>F413 * G413 * 229.76109</f>
        <v>229.76109</v>
      </c>
      <c r="I413" s="17">
        <f>F413 * G413 * 25.502012</f>
        <v>25.502012000000001</v>
      </c>
      <c r="J413" s="17">
        <f t="shared" si="60"/>
        <v>0</v>
      </c>
      <c r="K413" s="17">
        <f>F413 * G413 * 230.220612</f>
        <v>230.22061199999999</v>
      </c>
      <c r="L413" s="17">
        <f>F413 * G413 * 88.6007779999999</f>
        <v>88.600777999999906</v>
      </c>
      <c r="M413" s="17">
        <f t="shared" si="56"/>
        <v>0</v>
      </c>
      <c r="N413" s="23">
        <f t="shared" si="62"/>
        <v>574.08449199999984</v>
      </c>
      <c r="O413" s="18">
        <f t="shared" si="58"/>
        <v>574.08449199999984</v>
      </c>
    </row>
    <row r="414" spans="2:15">
      <c r="B414" s="12">
        <v>411</v>
      </c>
      <c r="C414" s="13" t="s">
        <v>993</v>
      </c>
      <c r="D414" s="14" t="s">
        <v>994</v>
      </c>
      <c r="E414" s="14" t="s">
        <v>992</v>
      </c>
      <c r="F414" s="15">
        <v>1</v>
      </c>
      <c r="G414" s="16">
        <v>1</v>
      </c>
      <c r="H414" s="17">
        <f>F414 * G414 * 38.882646</f>
        <v>38.882646000000001</v>
      </c>
      <c r="I414" s="17">
        <f>F414 * G414 * 13.990725</f>
        <v>13.990724999999999</v>
      </c>
      <c r="J414" s="17">
        <f t="shared" si="60"/>
        <v>0</v>
      </c>
      <c r="K414" s="17">
        <f>F414 * G414 * 38.960411</f>
        <v>38.960411000000001</v>
      </c>
      <c r="L414" s="17">
        <f>F414 * G414 * 16.759666</f>
        <v>16.759665999999999</v>
      </c>
      <c r="M414" s="17">
        <f t="shared" si="56"/>
        <v>0</v>
      </c>
      <c r="N414" s="23">
        <f t="shared" si="62"/>
        <v>108.593448</v>
      </c>
      <c r="O414" s="18">
        <f t="shared" si="58"/>
        <v>108.593448</v>
      </c>
    </row>
    <row r="415" spans="2:15">
      <c r="B415" s="12">
        <v>412</v>
      </c>
      <c r="C415" s="13" t="s">
        <v>995</v>
      </c>
      <c r="D415" s="14" t="s">
        <v>996</v>
      </c>
      <c r="E415" s="14" t="s">
        <v>963</v>
      </c>
      <c r="F415" s="15">
        <v>1</v>
      </c>
      <c r="G415" s="16">
        <v>1</v>
      </c>
      <c r="H415" s="17">
        <f>F415 * G415 * 547.89183</f>
        <v>547.89183000000003</v>
      </c>
      <c r="I415" s="17">
        <f>F415 * G415 * 1464.146795</f>
        <v>1464.1467950000001</v>
      </c>
      <c r="J415" s="17">
        <f>F415 * G415 * 8.0157</f>
        <v>8.0157000000000007</v>
      </c>
      <c r="K415" s="17">
        <f>F415 * G415 * 548.987614</f>
        <v>548.98761400000001</v>
      </c>
      <c r="L415" s="17">
        <f>F415 * G415 * 468.850153</f>
        <v>468.85015299999998</v>
      </c>
      <c r="M415" s="17">
        <f t="shared" si="56"/>
        <v>0</v>
      </c>
      <c r="N415" s="23">
        <f t="shared" si="62"/>
        <v>3037.892092</v>
      </c>
      <c r="O415" s="18">
        <f t="shared" si="58"/>
        <v>3037.892092</v>
      </c>
    </row>
    <row r="416" spans="2:15">
      <c r="B416" s="12">
        <v>413</v>
      </c>
      <c r="C416" s="13" t="s">
        <v>997</v>
      </c>
      <c r="D416" s="14" t="s">
        <v>998</v>
      </c>
      <c r="E416" s="14" t="s">
        <v>963</v>
      </c>
      <c r="F416" s="15">
        <v>1</v>
      </c>
      <c r="G416" s="16">
        <v>1</v>
      </c>
      <c r="H416" s="17">
        <f>F416 * G416 * 344.741273</f>
        <v>344.74127299999998</v>
      </c>
      <c r="I416" s="17">
        <f>F416 * G416 * 37.69178</f>
        <v>37.691780000000001</v>
      </c>
      <c r="J416" s="17">
        <f>F416 * G416 * 0</f>
        <v>0</v>
      </c>
      <c r="K416" s="17">
        <f>F416 * G416 * 345.430755</f>
        <v>345.43075499999998</v>
      </c>
      <c r="L416" s="17">
        <f>F416 * G416 * 132.835144999999</f>
        <v>132.83514499999899</v>
      </c>
      <c r="M416" s="17">
        <f t="shared" si="56"/>
        <v>0</v>
      </c>
      <c r="N416" s="23">
        <f t="shared" si="62"/>
        <v>860.69895299999894</v>
      </c>
      <c r="O416" s="18">
        <f t="shared" si="58"/>
        <v>860.69895299999894</v>
      </c>
    </row>
    <row r="417" spans="2:15">
      <c r="B417" s="12">
        <v>414</v>
      </c>
      <c r="C417" s="13" t="s">
        <v>999</v>
      </c>
      <c r="D417" s="14" t="s">
        <v>1000</v>
      </c>
      <c r="E417" s="14" t="s">
        <v>970</v>
      </c>
      <c r="F417" s="15">
        <v>1</v>
      </c>
      <c r="G417" s="16">
        <v>1</v>
      </c>
      <c r="H417" s="17">
        <f>F417 * G417 * 795.32685</f>
        <v>795.32685000000004</v>
      </c>
      <c r="I417" s="17">
        <f>F417 * G417 * 726.096292</f>
        <v>726.09629199999995</v>
      </c>
      <c r="J417" s="17">
        <f>F417 * G417 * 8.0157</f>
        <v>8.0157000000000007</v>
      </c>
      <c r="K417" s="17">
        <f>F417 * G417 * 796.917504</f>
        <v>796.91750400000001</v>
      </c>
      <c r="L417" s="17">
        <f>F417 * G417 * 424.560033</f>
        <v>424.56003299999998</v>
      </c>
      <c r="M417" s="17">
        <f t="shared" si="56"/>
        <v>0</v>
      </c>
      <c r="N417" s="23">
        <f t="shared" si="62"/>
        <v>2750.9163790000002</v>
      </c>
      <c r="O417" s="18">
        <f t="shared" si="58"/>
        <v>2750.9163790000002</v>
      </c>
    </row>
    <row r="418" spans="2:15">
      <c r="B418" s="12">
        <v>415</v>
      </c>
      <c r="C418" s="13" t="s">
        <v>1001</v>
      </c>
      <c r="D418" s="14" t="s">
        <v>1002</v>
      </c>
      <c r="E418" s="14" t="s">
        <v>970</v>
      </c>
      <c r="F418" s="15">
        <v>1</v>
      </c>
      <c r="G418" s="16">
        <v>1</v>
      </c>
      <c r="H418" s="17">
        <f>F418 * G418 * 498.404826</f>
        <v>498.40482600000001</v>
      </c>
      <c r="I418" s="17">
        <f>F418 * G418 * 243.357178</f>
        <v>243.357178</v>
      </c>
      <c r="J418" s="17">
        <f>F418 * G418 * 0</f>
        <v>0</v>
      </c>
      <c r="K418" s="17">
        <f>F418 * G418 * 499.401635</f>
        <v>499.401635</v>
      </c>
      <c r="L418" s="17">
        <f>F418 * G418 * 226.512364</f>
        <v>226.51236399999999</v>
      </c>
      <c r="M418" s="17">
        <f t="shared" si="56"/>
        <v>0</v>
      </c>
      <c r="N418" s="23">
        <f t="shared" si="62"/>
        <v>1467.676003</v>
      </c>
      <c r="O418" s="18">
        <f t="shared" si="58"/>
        <v>1467.676003</v>
      </c>
    </row>
    <row r="419" spans="2:15">
      <c r="B419" s="12">
        <v>416</v>
      </c>
      <c r="C419" s="13" t="s">
        <v>1003</v>
      </c>
      <c r="D419" s="14" t="s">
        <v>1004</v>
      </c>
      <c r="E419" s="14" t="s">
        <v>975</v>
      </c>
      <c r="F419" s="15">
        <v>1</v>
      </c>
      <c r="G419" s="16">
        <v>1</v>
      </c>
      <c r="H419" s="17">
        <f>F419 * G419 * 371.15253</f>
        <v>371.15253000000001</v>
      </c>
      <c r="I419" s="17">
        <f>F419 * G419 * 219.020355</f>
        <v>219.020355</v>
      </c>
      <c r="J419" s="17">
        <f>F419 * G419 * 0</f>
        <v>0</v>
      </c>
      <c r="K419" s="17">
        <f>F419 * G419 * 371.894835</f>
        <v>371.894835</v>
      </c>
      <c r="L419" s="17">
        <f>F419 * G419 * 175.577359</f>
        <v>175.577359</v>
      </c>
      <c r="M419" s="17">
        <f t="shared" si="56"/>
        <v>0</v>
      </c>
      <c r="N419" s="23">
        <f t="shared" si="62"/>
        <v>1137.6450789999999</v>
      </c>
      <c r="O419" s="18">
        <f t="shared" si="58"/>
        <v>1137.6450789999999</v>
      </c>
    </row>
    <row r="420" spans="2:15">
      <c r="B420" s="12">
        <v>417</v>
      </c>
      <c r="C420" s="13" t="s">
        <v>1005</v>
      </c>
      <c r="D420" s="14" t="s">
        <v>1006</v>
      </c>
      <c r="E420" s="14" t="s">
        <v>978</v>
      </c>
      <c r="F420" s="15">
        <v>1</v>
      </c>
      <c r="G420" s="16">
        <v>1</v>
      </c>
      <c r="H420" s="17">
        <f>F420 * G420 * 4926.563801</f>
        <v>4926.5638010000002</v>
      </c>
      <c r="I420" s="17">
        <f>F420 * G420 * 666.026966</f>
        <v>666.02696600000002</v>
      </c>
      <c r="J420" s="17">
        <f>F420 * G420 * 80.7885</f>
        <v>80.788499999999999</v>
      </c>
      <c r="K420" s="17">
        <f>F420 * G420 * 4936.416929</f>
        <v>4936.416929</v>
      </c>
      <c r="L420" s="17">
        <f>F420 * G420 * 1936.287806</f>
        <v>1936.287806</v>
      </c>
      <c r="M420" s="17">
        <f t="shared" si="56"/>
        <v>0</v>
      </c>
      <c r="N420" s="23">
        <f t="shared" si="62"/>
        <v>12546.084002</v>
      </c>
      <c r="O420" s="18">
        <f t="shared" si="58"/>
        <v>12546.084002</v>
      </c>
    </row>
    <row r="421" spans="2:15">
      <c r="B421" s="12">
        <v>418</v>
      </c>
      <c r="C421" s="13" t="s">
        <v>1007</v>
      </c>
      <c r="D421" s="14" t="s">
        <v>1008</v>
      </c>
      <c r="E421" s="14" t="s">
        <v>981</v>
      </c>
      <c r="F421" s="15">
        <v>1</v>
      </c>
      <c r="G421" s="16">
        <v>1</v>
      </c>
      <c r="H421" s="17">
        <f>F421 * G421 * 4610.882179</f>
        <v>4610.8821790000002</v>
      </c>
      <c r="I421" s="17">
        <f>F421 * G421 * 453.250728</f>
        <v>453.25072799999998</v>
      </c>
      <c r="J421" s="17">
        <f>F421 * G421 * 75.8169</f>
        <v>75.816900000000004</v>
      </c>
      <c r="K421" s="17">
        <f>F421 * G421 * 4620.103943</f>
        <v>4620.1039430000001</v>
      </c>
      <c r="L421" s="17">
        <f>F421 * G421 * 1781.209809</f>
        <v>1781.209809</v>
      </c>
      <c r="M421" s="17">
        <f t="shared" si="56"/>
        <v>0</v>
      </c>
      <c r="N421" s="23">
        <f t="shared" si="62"/>
        <v>11541.263558999999</v>
      </c>
      <c r="O421" s="18">
        <f t="shared" si="58"/>
        <v>11541.263558999999</v>
      </c>
    </row>
    <row r="422" spans="2:15">
      <c r="B422" s="12">
        <v>419</v>
      </c>
      <c r="C422" s="13" t="s">
        <v>1009</v>
      </c>
      <c r="D422" s="14" t="s">
        <v>1010</v>
      </c>
      <c r="E422" s="14" t="s">
        <v>984</v>
      </c>
      <c r="F422" s="15">
        <v>1</v>
      </c>
      <c r="G422" s="16">
        <v>1</v>
      </c>
      <c r="H422" s="17">
        <f>F422 * G422 * 409.271644</f>
        <v>409.27164399999998</v>
      </c>
      <c r="I422" s="17">
        <f>F422 * G422 * 26.449137</f>
        <v>26.449137</v>
      </c>
      <c r="J422" s="17">
        <f>F422 * G422 * 0</f>
        <v>0</v>
      </c>
      <c r="K422" s="17">
        <f>F422 * G422 * 410.090187</f>
        <v>410.09018700000001</v>
      </c>
      <c r="L422" s="17">
        <f>F422 * G422 * 154.360502</f>
        <v>154.360502</v>
      </c>
      <c r="M422" s="17">
        <f t="shared" si="56"/>
        <v>0</v>
      </c>
      <c r="N422" s="23">
        <f t="shared" si="62"/>
        <v>1000.17147</v>
      </c>
      <c r="O422" s="18">
        <f t="shared" si="58"/>
        <v>1000.17147</v>
      </c>
    </row>
    <row r="423" spans="2:15">
      <c r="B423" s="12">
        <v>420</v>
      </c>
      <c r="C423" s="13" t="s">
        <v>1011</v>
      </c>
      <c r="D423" s="14" t="s">
        <v>1012</v>
      </c>
      <c r="E423" s="14" t="s">
        <v>987</v>
      </c>
      <c r="F423" s="15">
        <v>1</v>
      </c>
      <c r="G423" s="16">
        <v>1</v>
      </c>
      <c r="H423" s="17">
        <f>F423 * G423 * 2186.417298</f>
        <v>2186.4172979999998</v>
      </c>
      <c r="I423" s="17">
        <f>F423 * G423 * 364.273664</f>
        <v>364.273664</v>
      </c>
      <c r="J423" s="17">
        <f>F423 * G423 * 51.7875</f>
        <v>51.787500000000001</v>
      </c>
      <c r="K423" s="17">
        <f>F423 * G423 * 2190.790133</f>
        <v>2190.790133</v>
      </c>
      <c r="L423" s="17">
        <f>F423 * G423 * 874.771519</f>
        <v>874.77151900000001</v>
      </c>
      <c r="M423" s="17">
        <f t="shared" si="56"/>
        <v>0</v>
      </c>
      <c r="N423" s="23">
        <f t="shared" si="62"/>
        <v>5668.0401139999994</v>
      </c>
      <c r="O423" s="18">
        <f t="shared" si="58"/>
        <v>5668.0401139999994</v>
      </c>
    </row>
    <row r="424" spans="2:15">
      <c r="B424" s="12">
        <v>421</v>
      </c>
      <c r="C424" s="13" t="s">
        <v>1013</v>
      </c>
      <c r="D424" s="14" t="s">
        <v>1014</v>
      </c>
      <c r="E424" s="14" t="s">
        <v>987</v>
      </c>
      <c r="F424" s="15">
        <v>1</v>
      </c>
      <c r="G424" s="16">
        <v>1</v>
      </c>
      <c r="H424" s="17">
        <f>F424 * G424 * 6501.002094</f>
        <v>6501.0020940000004</v>
      </c>
      <c r="I424" s="17">
        <f>F424 * G424 * 751.531021</f>
        <v>751.53102100000001</v>
      </c>
      <c r="J424" s="17">
        <f>F424 * G424 * 106.64082</f>
        <v>106.64082000000001</v>
      </c>
      <c r="K424" s="17">
        <f>F424 * G424 * 6514.004098</f>
        <v>6514.0040980000003</v>
      </c>
      <c r="L424" s="17">
        <f>F424 * G424 * 2531.854991</f>
        <v>2531.8549910000002</v>
      </c>
      <c r="M424" s="17">
        <f t="shared" si="56"/>
        <v>0</v>
      </c>
      <c r="N424" s="23">
        <f t="shared" si="62"/>
        <v>16405.033024</v>
      </c>
      <c r="O424" s="18">
        <f t="shared" si="58"/>
        <v>16405.033024</v>
      </c>
    </row>
    <row r="425" spans="2:15" ht="25.5">
      <c r="B425" s="12">
        <v>422</v>
      </c>
      <c r="C425" s="13" t="s">
        <v>1015</v>
      </c>
      <c r="D425" s="14" t="s">
        <v>1016</v>
      </c>
      <c r="E425" s="14" t="s">
        <v>1017</v>
      </c>
      <c r="F425" s="15">
        <v>1</v>
      </c>
      <c r="G425" s="16">
        <v>1</v>
      </c>
      <c r="H425" s="17">
        <f>F425 * G425 * 176.7393</f>
        <v>176.73929999999999</v>
      </c>
      <c r="I425" s="17">
        <f>F425 * G425 * 2836.853062</f>
        <v>2836.8530620000001</v>
      </c>
      <c r="J425" s="17">
        <f>F425 * G425 * 4.92</f>
        <v>4.92</v>
      </c>
      <c r="K425" s="17">
        <f>F425 * G425 * 177.092779</f>
        <v>177.09277900000001</v>
      </c>
      <c r="L425" s="17">
        <f>F425 * G425 * 583.197939</f>
        <v>583.19793900000002</v>
      </c>
      <c r="M425" s="17">
        <f t="shared" si="56"/>
        <v>0</v>
      </c>
      <c r="N425" s="23">
        <f t="shared" si="62"/>
        <v>3778.8030800000006</v>
      </c>
      <c r="O425" s="18">
        <f t="shared" si="58"/>
        <v>3778.8030800000006</v>
      </c>
    </row>
    <row r="426" spans="2:15" ht="25.5">
      <c r="B426" s="12">
        <v>423</v>
      </c>
      <c r="C426" s="13" t="s">
        <v>1018</v>
      </c>
      <c r="D426" s="14" t="s">
        <v>1019</v>
      </c>
      <c r="E426" s="14" t="s">
        <v>1020</v>
      </c>
      <c r="F426" s="15">
        <v>1</v>
      </c>
      <c r="G426" s="16">
        <v>1</v>
      </c>
      <c r="H426" s="17">
        <f>F426 * G426 * 25291.522872</f>
        <v>25291.522872000001</v>
      </c>
      <c r="I426" s="17">
        <f>F426 * G426 * 11455.190657</f>
        <v>11455.190656999999</v>
      </c>
      <c r="J426" s="17">
        <f t="shared" ref="J426:J450" si="63">F426 * G426 * 0</f>
        <v>0</v>
      </c>
      <c r="K426" s="17">
        <f>F426 * G426 * 25342.105917</f>
        <v>25342.105917000001</v>
      </c>
      <c r="L426" s="17">
        <f>F426 * G426 * 11331.20955</f>
        <v>11331.20955</v>
      </c>
      <c r="M426" s="17">
        <f t="shared" si="56"/>
        <v>0</v>
      </c>
      <c r="N426" s="23">
        <f t="shared" si="53"/>
        <v>734.20028996000008</v>
      </c>
      <c r="O426" s="18">
        <f t="shared" si="58"/>
        <v>73420.028996000008</v>
      </c>
    </row>
    <row r="427" spans="2:15">
      <c r="B427" s="12">
        <v>424</v>
      </c>
      <c r="C427" s="13" t="s">
        <v>1021</v>
      </c>
      <c r="D427" s="14" t="s">
        <v>1022</v>
      </c>
      <c r="E427" s="14" t="s">
        <v>975</v>
      </c>
      <c r="F427" s="15">
        <v>1</v>
      </c>
      <c r="G427" s="16">
        <v>1</v>
      </c>
      <c r="H427" s="17">
        <f>F427 * G427 * 18.204148</f>
        <v>18.204148</v>
      </c>
      <c r="I427" s="17">
        <f>F427 * G427 * 1202.72088</f>
        <v>1202.7208800000001</v>
      </c>
      <c r="J427" s="17">
        <f t="shared" si="63"/>
        <v>0</v>
      </c>
      <c r="K427" s="17">
        <f>F427 * G427 * 18.240557</f>
        <v>18.240556999999999</v>
      </c>
      <c r="L427" s="17">
        <f>F427 * G427 * 226.147719</f>
        <v>226.147719</v>
      </c>
      <c r="M427" s="17">
        <f t="shared" si="56"/>
        <v>0</v>
      </c>
      <c r="N427" s="23">
        <f>O427/G427/F427</f>
        <v>1465.3133040000002</v>
      </c>
      <c r="O427" s="18">
        <f t="shared" si="58"/>
        <v>1465.3133040000002</v>
      </c>
    </row>
    <row r="428" spans="2:15" ht="38.25">
      <c r="B428" s="12">
        <v>425</v>
      </c>
      <c r="C428" s="13" t="s">
        <v>1023</v>
      </c>
      <c r="D428" s="14" t="s">
        <v>1024</v>
      </c>
      <c r="E428" s="14" t="s">
        <v>1025</v>
      </c>
      <c r="F428" s="15">
        <v>1</v>
      </c>
      <c r="G428" s="16">
        <v>1</v>
      </c>
      <c r="H428" s="17">
        <f>F428 * G428 * 3840.248648</f>
        <v>3840.2486479999998</v>
      </c>
      <c r="I428" s="17">
        <f t="shared" ref="I428:I434" si="64">F428 * G428 * 0</f>
        <v>0</v>
      </c>
      <c r="J428" s="17">
        <f t="shared" si="63"/>
        <v>0</v>
      </c>
      <c r="K428" s="17">
        <f>F428 * G428 * 3847.929146</f>
        <v>3847.9291459999999</v>
      </c>
      <c r="L428" s="17">
        <f>F428 * G428 * 1403.092447</f>
        <v>1403.092447</v>
      </c>
      <c r="M428" s="17">
        <f t="shared" si="56"/>
        <v>0</v>
      </c>
      <c r="N428" s="23">
        <f>O428/G428/F428/10000</f>
        <v>0.90912702409999979</v>
      </c>
      <c r="O428" s="18">
        <f t="shared" si="58"/>
        <v>9091.2702409999984</v>
      </c>
    </row>
    <row r="429" spans="2:15" ht="38.25">
      <c r="B429" s="12">
        <v>426</v>
      </c>
      <c r="C429" s="13" t="s">
        <v>1026</v>
      </c>
      <c r="D429" s="14" t="s">
        <v>1027</v>
      </c>
      <c r="E429" s="14" t="s">
        <v>1025</v>
      </c>
      <c r="F429" s="15">
        <v>1</v>
      </c>
      <c r="G429" s="16">
        <v>1</v>
      </c>
      <c r="H429" s="17">
        <f>F429 * G429 * 4390.031352</f>
        <v>4390.031352</v>
      </c>
      <c r="I429" s="17">
        <f t="shared" si="64"/>
        <v>0</v>
      </c>
      <c r="J429" s="17">
        <f t="shared" si="63"/>
        <v>0</v>
      </c>
      <c r="K429" s="17">
        <f>F429 * G429 * 4398.811414</f>
        <v>4398.8114139999998</v>
      </c>
      <c r="L429" s="17">
        <f>F429 * G429 * 1603.963805</f>
        <v>1603.9638050000001</v>
      </c>
      <c r="M429" s="17">
        <f t="shared" si="56"/>
        <v>0</v>
      </c>
      <c r="N429" s="23">
        <f t="shared" ref="N429:N433" si="65">O429/G429/F429/10000</f>
        <v>1.0392806570999999</v>
      </c>
      <c r="O429" s="18">
        <f t="shared" si="58"/>
        <v>10392.806570999999</v>
      </c>
    </row>
    <row r="430" spans="2:15" ht="38.25">
      <c r="B430" s="12">
        <v>427</v>
      </c>
      <c r="C430" s="13" t="s">
        <v>1028</v>
      </c>
      <c r="D430" s="14" t="s">
        <v>1029</v>
      </c>
      <c r="E430" s="14" t="s">
        <v>1025</v>
      </c>
      <c r="F430" s="15">
        <v>1</v>
      </c>
      <c r="G430" s="16">
        <v>1</v>
      </c>
      <c r="H430" s="17">
        <f>F430 * G430 * 5486.304648</f>
        <v>5486.3046480000003</v>
      </c>
      <c r="I430" s="17">
        <f t="shared" si="64"/>
        <v>0</v>
      </c>
      <c r="J430" s="17">
        <f t="shared" si="63"/>
        <v>0</v>
      </c>
      <c r="K430" s="17">
        <f>F430 * G430 * 5497.277258</f>
        <v>5497.2772580000001</v>
      </c>
      <c r="L430" s="17">
        <f>F430 * G430 * 2004.503698</f>
        <v>2004.503698</v>
      </c>
      <c r="M430" s="17">
        <f t="shared" si="56"/>
        <v>0</v>
      </c>
      <c r="N430" s="23">
        <f t="shared" si="65"/>
        <v>1.2988085603999999</v>
      </c>
      <c r="O430" s="18">
        <f t="shared" si="58"/>
        <v>12988.085604</v>
      </c>
    </row>
    <row r="431" spans="2:15" ht="38.25">
      <c r="B431" s="12">
        <v>428</v>
      </c>
      <c r="C431" s="13" t="s">
        <v>1030</v>
      </c>
      <c r="D431" s="14" t="s">
        <v>1031</v>
      </c>
      <c r="E431" s="14" t="s">
        <v>1025</v>
      </c>
      <c r="F431" s="15">
        <v>1</v>
      </c>
      <c r="G431" s="16">
        <v>1</v>
      </c>
      <c r="H431" s="17">
        <f>F431 * G431 * 116595.084648</f>
        <v>116595.084648</v>
      </c>
      <c r="I431" s="17">
        <f t="shared" si="64"/>
        <v>0</v>
      </c>
      <c r="J431" s="17">
        <f t="shared" si="63"/>
        <v>0</v>
      </c>
      <c r="K431" s="17">
        <f>F431 * G431 * 116828.274818</f>
        <v>116828.27481800001</v>
      </c>
      <c r="L431" s="17">
        <f>F431 * G431 * 42599.763103</f>
        <v>42599.763102999997</v>
      </c>
      <c r="M431" s="17">
        <f t="shared" si="56"/>
        <v>0</v>
      </c>
      <c r="N431" s="23">
        <f t="shared" si="65"/>
        <v>27.602312256899999</v>
      </c>
      <c r="O431" s="18">
        <f t="shared" si="58"/>
        <v>276023.122569</v>
      </c>
    </row>
    <row r="432" spans="2:15" ht="38.25">
      <c r="B432" s="12">
        <v>429</v>
      </c>
      <c r="C432" s="13" t="s">
        <v>1032</v>
      </c>
      <c r="D432" s="14" t="s">
        <v>1033</v>
      </c>
      <c r="E432" s="14" t="s">
        <v>1025</v>
      </c>
      <c r="F432" s="15">
        <v>1</v>
      </c>
      <c r="G432" s="16">
        <v>1</v>
      </c>
      <c r="H432" s="17">
        <f>F432 * G432 * 122906.063352</f>
        <v>122906.063352</v>
      </c>
      <c r="I432" s="17">
        <f t="shared" si="64"/>
        <v>0</v>
      </c>
      <c r="J432" s="17">
        <f t="shared" si="63"/>
        <v>0</v>
      </c>
      <c r="K432" s="17">
        <f>F432 * G432 * 123151.875478</f>
        <v>123151.875478</v>
      </c>
      <c r="L432" s="17">
        <f>F432 * G432 * 44905.5738359999</f>
        <v>44905.573835999901</v>
      </c>
      <c r="M432" s="17">
        <f t="shared" si="56"/>
        <v>0</v>
      </c>
      <c r="N432" s="23">
        <f t="shared" si="65"/>
        <v>29.096351266599989</v>
      </c>
      <c r="O432" s="18">
        <f t="shared" si="58"/>
        <v>290963.51266599988</v>
      </c>
    </row>
    <row r="433" spans="2:15" ht="38.25">
      <c r="B433" s="12">
        <v>430</v>
      </c>
      <c r="C433" s="13" t="s">
        <v>1034</v>
      </c>
      <c r="D433" s="14" t="s">
        <v>1035</v>
      </c>
      <c r="E433" s="14" t="s">
        <v>1025</v>
      </c>
      <c r="F433" s="15">
        <v>1</v>
      </c>
      <c r="G433" s="16">
        <v>1</v>
      </c>
      <c r="H433" s="17">
        <f>F433 * G433 * 141012.679352</f>
        <v>141012.67935200001</v>
      </c>
      <c r="I433" s="17">
        <f t="shared" si="64"/>
        <v>0</v>
      </c>
      <c r="J433" s="17">
        <f t="shared" si="63"/>
        <v>0</v>
      </c>
      <c r="K433" s="17">
        <f>F433 * G433 * 141294.70471</f>
        <v>141294.70470999999</v>
      </c>
      <c r="L433" s="17">
        <f>F433 * G433 * 51521.097592</f>
        <v>51521.097591999998</v>
      </c>
      <c r="M433" s="17">
        <f t="shared" si="56"/>
        <v>0</v>
      </c>
      <c r="N433" s="23">
        <f t="shared" si="65"/>
        <v>33.382848165399992</v>
      </c>
      <c r="O433" s="18">
        <f t="shared" si="58"/>
        <v>333828.48165399994</v>
      </c>
    </row>
    <row r="434" spans="2:15">
      <c r="B434" s="12">
        <v>431</v>
      </c>
      <c r="C434" s="13" t="s">
        <v>1036</v>
      </c>
      <c r="D434" s="14" t="s">
        <v>1037</v>
      </c>
      <c r="E434" s="14" t="s">
        <v>1038</v>
      </c>
      <c r="F434" s="15">
        <v>1</v>
      </c>
      <c r="G434" s="16">
        <v>1</v>
      </c>
      <c r="H434" s="17">
        <f>F434 * G434 * 137.116465</f>
        <v>137.11646500000001</v>
      </c>
      <c r="I434" s="17">
        <f t="shared" si="64"/>
        <v>0</v>
      </c>
      <c r="J434" s="17">
        <f t="shared" si="63"/>
        <v>0</v>
      </c>
      <c r="K434" s="17">
        <f>F434 * G434 * 137.390698</f>
        <v>137.39069799999999</v>
      </c>
      <c r="L434" s="17">
        <f>F434 * G434 * 50.0975569999999</f>
        <v>50.097556999999902</v>
      </c>
      <c r="M434" s="17">
        <f t="shared" si="56"/>
        <v>0</v>
      </c>
      <c r="N434" s="23">
        <f>O434/G434/F434</f>
        <v>324.60471999999987</v>
      </c>
      <c r="O434" s="18">
        <f t="shared" si="58"/>
        <v>324.60471999999987</v>
      </c>
    </row>
    <row r="435" spans="2:15">
      <c r="B435" s="12">
        <v>432</v>
      </c>
      <c r="C435" s="13" t="s">
        <v>1039</v>
      </c>
      <c r="D435" s="14" t="s">
        <v>1040</v>
      </c>
      <c r="E435" s="14" t="s">
        <v>60</v>
      </c>
      <c r="F435" s="15">
        <v>1</v>
      </c>
      <c r="G435" s="16">
        <v>1</v>
      </c>
      <c r="H435" s="17">
        <f>F435 * G435 * 35.55481</f>
        <v>35.554810000000003</v>
      </c>
      <c r="I435" s="17">
        <f>F435 * G435 * 205.496539</f>
        <v>205.49653900000001</v>
      </c>
      <c r="J435" s="17">
        <f t="shared" si="63"/>
        <v>0</v>
      </c>
      <c r="K435" s="17">
        <f>F435 * G435 * 35.62592</f>
        <v>35.625920000000001</v>
      </c>
      <c r="L435" s="17">
        <f>F435 * G435 * 50.493601</f>
        <v>50.493600999999998</v>
      </c>
      <c r="M435" s="17">
        <f t="shared" si="56"/>
        <v>0</v>
      </c>
      <c r="N435" s="23">
        <f t="shared" ref="N431:N469" si="66">O435/G435/F435/100</f>
        <v>3.2717087000000005</v>
      </c>
      <c r="O435" s="18">
        <f t="shared" si="58"/>
        <v>327.17087000000004</v>
      </c>
    </row>
    <row r="436" spans="2:15">
      <c r="B436" s="12">
        <v>433</v>
      </c>
      <c r="C436" s="13" t="s">
        <v>1041</v>
      </c>
      <c r="D436" s="14" t="s">
        <v>1042</v>
      </c>
      <c r="E436" s="14" t="s">
        <v>60</v>
      </c>
      <c r="F436" s="15">
        <v>1</v>
      </c>
      <c r="G436" s="16">
        <v>1</v>
      </c>
      <c r="H436" s="17">
        <f>F436 * G436 * 41.1514</f>
        <v>41.151400000000002</v>
      </c>
      <c r="I436" s="17">
        <f>F436 * G436 * 385.306011</f>
        <v>385.30601100000001</v>
      </c>
      <c r="J436" s="17">
        <f t="shared" si="63"/>
        <v>0</v>
      </c>
      <c r="K436" s="17">
        <f>F436 * G436 * 41.233703</f>
        <v>41.233702999999998</v>
      </c>
      <c r="L436" s="17">
        <f>F436 * G436 * 85.353629</f>
        <v>85.353628999999998</v>
      </c>
      <c r="M436" s="17">
        <f t="shared" si="56"/>
        <v>0</v>
      </c>
      <c r="N436" s="23">
        <f t="shared" si="66"/>
        <v>5.5304474300000006</v>
      </c>
      <c r="O436" s="18">
        <f t="shared" si="58"/>
        <v>553.04474300000004</v>
      </c>
    </row>
    <row r="437" spans="2:15">
      <c r="B437" s="12">
        <v>434</v>
      </c>
      <c r="C437" s="13" t="s">
        <v>1043</v>
      </c>
      <c r="D437" s="14" t="s">
        <v>1044</v>
      </c>
      <c r="E437" s="14" t="s">
        <v>60</v>
      </c>
      <c r="F437" s="15">
        <v>1</v>
      </c>
      <c r="G437" s="16">
        <v>1</v>
      </c>
      <c r="H437" s="17">
        <f>F437 * G437 * 46.632766</f>
        <v>46.632765999999997</v>
      </c>
      <c r="I437" s="17">
        <f>F437 * G437 * 385.306011</f>
        <v>385.30601100000001</v>
      </c>
      <c r="J437" s="17">
        <f t="shared" si="63"/>
        <v>0</v>
      </c>
      <c r="K437" s="17">
        <f>F437 * G437 * 46.726031</f>
        <v>46.726030999999999</v>
      </c>
      <c r="L437" s="17">
        <f>F437 * G437 * 87.356328</f>
        <v>87.356328000000005</v>
      </c>
      <c r="M437" s="17">
        <f t="shared" si="56"/>
        <v>0</v>
      </c>
      <c r="N437" s="23">
        <f t="shared" si="66"/>
        <v>5.6602113599999999</v>
      </c>
      <c r="O437" s="18">
        <f t="shared" si="58"/>
        <v>566.02113599999996</v>
      </c>
    </row>
    <row r="438" spans="2:15" ht="25.5">
      <c r="B438" s="12">
        <v>435</v>
      </c>
      <c r="C438" s="13" t="s">
        <v>1045</v>
      </c>
      <c r="D438" s="14" t="s">
        <v>1046</v>
      </c>
      <c r="E438" s="14" t="s">
        <v>1047</v>
      </c>
      <c r="F438" s="15">
        <v>1</v>
      </c>
      <c r="G438" s="16">
        <v>1</v>
      </c>
      <c r="H438" s="17">
        <f>F438 * G438 * 444.43512</f>
        <v>444.43511999999998</v>
      </c>
      <c r="I438" s="17">
        <f>F438 * G438 * 0</f>
        <v>0</v>
      </c>
      <c r="J438" s="17">
        <f t="shared" si="63"/>
        <v>0</v>
      </c>
      <c r="K438" s="17">
        <f>F438 * G438 * 445.32399</f>
        <v>445.32398999999998</v>
      </c>
      <c r="L438" s="17">
        <f>F438 * G438 * 162.381037</f>
        <v>162.38103699999999</v>
      </c>
      <c r="M438" s="17">
        <f t="shared" si="56"/>
        <v>0</v>
      </c>
      <c r="N438" s="23">
        <f t="shared" si="66"/>
        <v>10.521401470000001</v>
      </c>
      <c r="O438" s="18">
        <f t="shared" si="58"/>
        <v>1052.1401470000001</v>
      </c>
    </row>
    <row r="439" spans="2:15">
      <c r="B439" s="12">
        <v>436</v>
      </c>
      <c r="C439" s="13" t="s">
        <v>1048</v>
      </c>
      <c r="D439" s="14" t="s">
        <v>1049</v>
      </c>
      <c r="E439" s="14" t="s">
        <v>1050</v>
      </c>
      <c r="F439" s="15">
        <v>1</v>
      </c>
      <c r="G439" s="16">
        <v>1</v>
      </c>
      <c r="H439" s="17">
        <f>F439 * G439 * 197.52672</f>
        <v>197.52672000000001</v>
      </c>
      <c r="I439" s="17">
        <f>F439 * G439 * 0</f>
        <v>0</v>
      </c>
      <c r="J439" s="17">
        <f t="shared" si="63"/>
        <v>0</v>
      </c>
      <c r="K439" s="17">
        <f>F439 * G439 * 197.921773</f>
        <v>197.921773</v>
      </c>
      <c r="L439" s="17">
        <f>F439 * G439 * 72.16935</f>
        <v>72.169349999999994</v>
      </c>
      <c r="M439" s="17">
        <f t="shared" si="56"/>
        <v>0</v>
      </c>
      <c r="N439" s="23">
        <f t="shared" si="66"/>
        <v>4.6761784300000002</v>
      </c>
      <c r="O439" s="18">
        <f t="shared" si="58"/>
        <v>467.61784299999999</v>
      </c>
    </row>
    <row r="440" spans="2:15" ht="25.5">
      <c r="B440" s="12">
        <v>437</v>
      </c>
      <c r="C440" s="13" t="s">
        <v>1051</v>
      </c>
      <c r="D440" s="14" t="s">
        <v>1052</v>
      </c>
      <c r="E440" s="14" t="s">
        <v>67</v>
      </c>
      <c r="F440" s="15">
        <v>1</v>
      </c>
      <c r="G440" s="16">
        <v>1</v>
      </c>
      <c r="H440" s="17">
        <f>F440 * G440 * 227.155728</f>
        <v>227.15572800000001</v>
      </c>
      <c r="I440" s="17">
        <f>F440 * G440 * 0</f>
        <v>0</v>
      </c>
      <c r="J440" s="17">
        <f t="shared" si="63"/>
        <v>0</v>
      </c>
      <c r="K440" s="17">
        <f>F440 * G440 * 227.610039999999</f>
        <v>227.610039999999</v>
      </c>
      <c r="L440" s="17">
        <f>F440 * G440 * 82.994753</f>
        <v>82.994753000000003</v>
      </c>
      <c r="M440" s="17">
        <f t="shared" si="56"/>
        <v>0</v>
      </c>
      <c r="N440" s="23">
        <f t="shared" si="66"/>
        <v>5.3776052099999898</v>
      </c>
      <c r="O440" s="18">
        <f t="shared" si="58"/>
        <v>537.76052099999902</v>
      </c>
    </row>
    <row r="441" spans="2:15" ht="25.5">
      <c r="B441" s="12">
        <v>438</v>
      </c>
      <c r="C441" s="13" t="s">
        <v>1053</v>
      </c>
      <c r="D441" s="14" t="s">
        <v>1054</v>
      </c>
      <c r="E441" s="14" t="s">
        <v>67</v>
      </c>
      <c r="F441" s="15">
        <v>1</v>
      </c>
      <c r="G441" s="16">
        <v>1</v>
      </c>
      <c r="H441" s="17">
        <f>F441 * G441 * 41.974428</f>
        <v>41.974428000000003</v>
      </c>
      <c r="I441" s="17">
        <f>F441 * G441 * 0.315732</f>
        <v>0.31573200000000001</v>
      </c>
      <c r="J441" s="17">
        <f t="shared" si="63"/>
        <v>0</v>
      </c>
      <c r="K441" s="17">
        <f>F441 * G441 * 42.058377</f>
        <v>42.058377</v>
      </c>
      <c r="L441" s="17">
        <f>F441 * G441 * 15.393608</f>
        <v>15.393608</v>
      </c>
      <c r="M441" s="17">
        <f t="shared" si="56"/>
        <v>0</v>
      </c>
      <c r="N441" s="23">
        <f t="shared" si="66"/>
        <v>0.99742144999999993</v>
      </c>
      <c r="O441" s="18">
        <f t="shared" si="58"/>
        <v>99.742144999999994</v>
      </c>
    </row>
    <row r="442" spans="2:15" ht="25.5">
      <c r="B442" s="12">
        <v>439</v>
      </c>
      <c r="C442" s="13" t="s">
        <v>1055</v>
      </c>
      <c r="D442" s="14" t="s">
        <v>1056</v>
      </c>
      <c r="E442" s="14" t="s">
        <v>1057</v>
      </c>
      <c r="F442" s="15">
        <v>1</v>
      </c>
      <c r="G442" s="16">
        <v>1</v>
      </c>
      <c r="H442" s="17">
        <f>F442 * G442 * 86.088729</f>
        <v>86.088729000000001</v>
      </c>
      <c r="I442" s="17">
        <f>F442 * G442 * 0.375235</f>
        <v>0.37523499999999999</v>
      </c>
      <c r="J442" s="17">
        <f t="shared" si="63"/>
        <v>0</v>
      </c>
      <c r="K442" s="17">
        <f>F442 * G442 * 86.260906</f>
        <v>86.260906000000006</v>
      </c>
      <c r="L442" s="17">
        <f>F442 * G442 * 31.522289</f>
        <v>31.522289000000001</v>
      </c>
      <c r="M442" s="17">
        <f t="shared" si="56"/>
        <v>0</v>
      </c>
      <c r="N442" s="23">
        <f>O442/G442/F442</f>
        <v>204.24715900000001</v>
      </c>
      <c r="O442" s="18">
        <f t="shared" si="58"/>
        <v>204.24715900000001</v>
      </c>
    </row>
    <row r="443" spans="2:15">
      <c r="B443" s="12">
        <v>440</v>
      </c>
      <c r="C443" s="13" t="s">
        <v>1058</v>
      </c>
      <c r="D443" s="14" t="s">
        <v>1059</v>
      </c>
      <c r="E443" s="14" t="s">
        <v>67</v>
      </c>
      <c r="F443" s="15">
        <v>1</v>
      </c>
      <c r="G443" s="16">
        <v>1</v>
      </c>
      <c r="H443" s="17">
        <f>F443 * G443 * 987.6336</f>
        <v>987.6336</v>
      </c>
      <c r="I443" s="17">
        <f>F443 * G443 * 0</f>
        <v>0</v>
      </c>
      <c r="J443" s="17">
        <f t="shared" si="63"/>
        <v>0</v>
      </c>
      <c r="K443" s="17">
        <f>F443 * G443 * 989.608867</f>
        <v>989.60886700000003</v>
      </c>
      <c r="L443" s="17">
        <f>F443 * G443 * 360.84675</f>
        <v>360.84674999999999</v>
      </c>
      <c r="M443" s="17">
        <f t="shared" si="56"/>
        <v>0</v>
      </c>
      <c r="N443" s="23">
        <f t="shared" si="66"/>
        <v>23.380892170000003</v>
      </c>
      <c r="O443" s="18">
        <f t="shared" si="58"/>
        <v>2338.0892170000002</v>
      </c>
    </row>
    <row r="444" spans="2:15">
      <c r="B444" s="12">
        <v>441</v>
      </c>
      <c r="C444" s="13" t="s">
        <v>1060</v>
      </c>
      <c r="D444" s="14" t="s">
        <v>1061</v>
      </c>
      <c r="E444" s="14" t="s">
        <v>940</v>
      </c>
      <c r="F444" s="15">
        <v>1</v>
      </c>
      <c r="G444" s="16">
        <v>1</v>
      </c>
      <c r="H444" s="17">
        <f>F444 * G444 * 399.991608</f>
        <v>399.99160799999999</v>
      </c>
      <c r="I444" s="17">
        <f>F444 * G444 * 3.022961</f>
        <v>3.022961</v>
      </c>
      <c r="J444" s="17">
        <f t="shared" si="63"/>
        <v>0</v>
      </c>
      <c r="K444" s="17">
        <f>F444 * G444 * 400.791592</f>
        <v>400.79159199999998</v>
      </c>
      <c r="L444" s="17">
        <f>F444 * G444 * 146.694624</f>
        <v>146.694624</v>
      </c>
      <c r="M444" s="17">
        <f t="shared" si="56"/>
        <v>0</v>
      </c>
      <c r="N444" s="23">
        <f t="shared" si="66"/>
        <v>9.5050078500000001</v>
      </c>
      <c r="O444" s="18">
        <f t="shared" si="58"/>
        <v>950.50078499999995</v>
      </c>
    </row>
    <row r="445" spans="2:15">
      <c r="B445" s="12">
        <v>442</v>
      </c>
      <c r="C445" s="13" t="s">
        <v>1062</v>
      </c>
      <c r="D445" s="14" t="s">
        <v>1063</v>
      </c>
      <c r="E445" s="14" t="s">
        <v>1064</v>
      </c>
      <c r="F445" s="15">
        <v>1</v>
      </c>
      <c r="G445" s="16">
        <v>1</v>
      </c>
      <c r="H445" s="17">
        <f>F445 * G445 * 12839.2368</f>
        <v>12839.236800000001</v>
      </c>
      <c r="I445" s="17">
        <f>F445 * G445 * 0</f>
        <v>0</v>
      </c>
      <c r="J445" s="17">
        <f t="shared" si="63"/>
        <v>0</v>
      </c>
      <c r="K445" s="17">
        <f>F445 * G445 * 12864.9152739999</f>
        <v>12864.915273999901</v>
      </c>
      <c r="L445" s="17">
        <f>F445 * G445 * 4691.007754</f>
        <v>4691.0077540000002</v>
      </c>
      <c r="M445" s="17">
        <f t="shared" si="56"/>
        <v>0</v>
      </c>
      <c r="N445" s="23">
        <f t="shared" si="66"/>
        <v>303.95159827999902</v>
      </c>
      <c r="O445" s="18">
        <f t="shared" si="58"/>
        <v>30395.159827999902</v>
      </c>
    </row>
    <row r="446" spans="2:15">
      <c r="B446" s="12">
        <v>443</v>
      </c>
      <c r="C446" s="13" t="s">
        <v>1065</v>
      </c>
      <c r="D446" s="14" t="s">
        <v>1066</v>
      </c>
      <c r="E446" s="14" t="s">
        <v>1067</v>
      </c>
      <c r="F446" s="15">
        <v>1</v>
      </c>
      <c r="G446" s="16">
        <v>1</v>
      </c>
      <c r="H446" s="17">
        <f>F446 * G446 * 50.833302</f>
        <v>50.833302000000003</v>
      </c>
      <c r="I446" s="17">
        <f>F446 * G446 * 0</f>
        <v>0</v>
      </c>
      <c r="J446" s="17">
        <f t="shared" si="63"/>
        <v>0</v>
      </c>
      <c r="K446" s="17">
        <f>F446 * G446 * 50.934968</f>
        <v>50.934967999999998</v>
      </c>
      <c r="L446" s="17">
        <f>F446 * G446 * 18.572709</f>
        <v>18.572709</v>
      </c>
      <c r="M446" s="17">
        <f t="shared" si="56"/>
        <v>0</v>
      </c>
      <c r="N446" s="23">
        <f>O446/G446/F446</f>
        <v>120.340979</v>
      </c>
      <c r="O446" s="18">
        <f t="shared" si="58"/>
        <v>120.340979</v>
      </c>
    </row>
    <row r="447" spans="2:15">
      <c r="B447" s="12">
        <v>444</v>
      </c>
      <c r="C447" s="13" t="s">
        <v>1068</v>
      </c>
      <c r="D447" s="14" t="s">
        <v>1069</v>
      </c>
      <c r="E447" s="14" t="s">
        <v>359</v>
      </c>
      <c r="F447" s="15">
        <v>1</v>
      </c>
      <c r="G447" s="16">
        <v>1</v>
      </c>
      <c r="H447" s="17">
        <f>F447 * G447 * 58.323969</f>
        <v>58.323968999999998</v>
      </c>
      <c r="I447" s="17">
        <f>F447 * G447 * 303.323362</f>
        <v>303.32336199999997</v>
      </c>
      <c r="J447" s="17">
        <f t="shared" si="63"/>
        <v>0</v>
      </c>
      <c r="K447" s="17">
        <f>F447 * G447 * 58.4406169999999</f>
        <v>58.440616999999897</v>
      </c>
      <c r="L447" s="17">
        <f>F447 * G447 * 76.66605</f>
        <v>76.666049999999998</v>
      </c>
      <c r="M447" s="17">
        <f t="shared" si="56"/>
        <v>0</v>
      </c>
      <c r="N447" s="23">
        <f t="shared" ref="N447:N450" si="67">O447/G447/F447</f>
        <v>496.75399799999985</v>
      </c>
      <c r="O447" s="18">
        <f t="shared" si="58"/>
        <v>496.75399799999985</v>
      </c>
    </row>
    <row r="448" spans="2:15">
      <c r="B448" s="12">
        <v>445</v>
      </c>
      <c r="C448" s="13" t="s">
        <v>1070</v>
      </c>
      <c r="D448" s="14" t="s">
        <v>1071</v>
      </c>
      <c r="E448" s="14" t="s">
        <v>359</v>
      </c>
      <c r="F448" s="15">
        <v>1</v>
      </c>
      <c r="G448" s="16">
        <v>1</v>
      </c>
      <c r="H448" s="17">
        <f>F448 * G448 * 41.710475</f>
        <v>41.710475000000002</v>
      </c>
      <c r="I448" s="17">
        <f>F448 * G448 * 4.592312</f>
        <v>4.5923119999999997</v>
      </c>
      <c r="J448" s="17">
        <f t="shared" si="63"/>
        <v>0</v>
      </c>
      <c r="K448" s="17">
        <f>F448 * G448 * 41.793896</f>
        <v>41.793895999999997</v>
      </c>
      <c r="L448" s="17">
        <f>F448 * G448 * 16.077644</f>
        <v>16.077643999999999</v>
      </c>
      <c r="M448" s="17">
        <f t="shared" si="56"/>
        <v>0</v>
      </c>
      <c r="N448" s="23">
        <f t="shared" si="67"/>
        <v>104.17432700000001</v>
      </c>
      <c r="O448" s="18">
        <f t="shared" si="58"/>
        <v>104.17432700000001</v>
      </c>
    </row>
    <row r="449" spans="2:15" ht="25.5">
      <c r="B449" s="12">
        <v>446</v>
      </c>
      <c r="C449" s="13" t="s">
        <v>1072</v>
      </c>
      <c r="D449" s="14" t="s">
        <v>1073</v>
      </c>
      <c r="E449" s="14" t="s">
        <v>1074</v>
      </c>
      <c r="F449" s="15">
        <v>1</v>
      </c>
      <c r="G449" s="16">
        <v>1</v>
      </c>
      <c r="H449" s="17">
        <f>F449 * G449 * 35.348696</f>
        <v>35.348695999999997</v>
      </c>
      <c r="I449" s="17">
        <f>F449 * G449 * 75.180384</f>
        <v>75.180384000000004</v>
      </c>
      <c r="J449" s="17">
        <f t="shared" si="63"/>
        <v>0</v>
      </c>
      <c r="K449" s="17">
        <f>F449 * G449 * 35.419393</f>
        <v>35.419392999999999</v>
      </c>
      <c r="L449" s="17">
        <f>F449 * G449 * 26.6355969999999</f>
        <v>26.635596999999901</v>
      </c>
      <c r="M449" s="17">
        <f t="shared" si="56"/>
        <v>0</v>
      </c>
      <c r="N449" s="23">
        <f t="shared" si="67"/>
        <v>172.58406999999988</v>
      </c>
      <c r="O449" s="18">
        <f t="shared" si="58"/>
        <v>172.58406999999988</v>
      </c>
    </row>
    <row r="450" spans="2:15">
      <c r="B450" s="12">
        <v>447</v>
      </c>
      <c r="C450" s="13" t="s">
        <v>1075</v>
      </c>
      <c r="D450" s="14" t="s">
        <v>1076</v>
      </c>
      <c r="E450" s="14" t="s">
        <v>1077</v>
      </c>
      <c r="F450" s="15">
        <v>1</v>
      </c>
      <c r="G450" s="16">
        <v>1</v>
      </c>
      <c r="H450" s="17">
        <f>F450 * G450 * 371.3808</f>
        <v>371.38080000000002</v>
      </c>
      <c r="I450" s="17">
        <f>F450 * G450 * 2165.698136</f>
        <v>2165.698136</v>
      </c>
      <c r="J450" s="17">
        <f t="shared" si="63"/>
        <v>0</v>
      </c>
      <c r="K450" s="17">
        <f>F450 * G450 * 372.123562</f>
        <v>372.12356199999999</v>
      </c>
      <c r="L450" s="17">
        <f>F450 * G450 * 530.929455</f>
        <v>530.92945499999996</v>
      </c>
      <c r="M450" s="17">
        <f t="shared" si="56"/>
        <v>0</v>
      </c>
      <c r="N450" s="23">
        <f t="shared" si="67"/>
        <v>3440.1319529999996</v>
      </c>
      <c r="O450" s="18">
        <f t="shared" si="58"/>
        <v>3440.1319529999996</v>
      </c>
    </row>
    <row r="451" spans="2:15">
      <c r="B451" s="12">
        <v>448</v>
      </c>
      <c r="C451" s="13" t="s">
        <v>1078</v>
      </c>
      <c r="D451" s="14" t="s">
        <v>1079</v>
      </c>
      <c r="E451" s="14" t="s">
        <v>99</v>
      </c>
      <c r="F451" s="15">
        <v>1</v>
      </c>
      <c r="G451" s="16">
        <v>1</v>
      </c>
      <c r="H451" s="17">
        <f>F451 * G451 * 19020.87187</f>
        <v>19020.871869999999</v>
      </c>
      <c r="I451" s="17">
        <f>F451 * G451 * 70998.048576</f>
        <v>70998.048576000001</v>
      </c>
      <c r="J451" s="17">
        <f>F451 * G451 * 5547.6637</f>
        <v>5547.6637000000001</v>
      </c>
      <c r="K451" s="17">
        <f>F451 * G451 * 20649.7530349999</f>
        <v>20649.7530349999</v>
      </c>
      <c r="L451" s="17">
        <f>F451 * G451 * 21209.481536</f>
        <v>21209.481535999999</v>
      </c>
      <c r="M451" s="17">
        <f t="shared" si="56"/>
        <v>0</v>
      </c>
      <c r="N451" s="23">
        <f t="shared" si="66"/>
        <v>1374.258187169999</v>
      </c>
      <c r="O451" s="18">
        <f t="shared" si="58"/>
        <v>137425.8187169999</v>
      </c>
    </row>
    <row r="452" spans="2:15">
      <c r="B452" s="12">
        <v>449</v>
      </c>
      <c r="C452" s="13" t="s">
        <v>1080</v>
      </c>
      <c r="D452" s="14" t="s">
        <v>1081</v>
      </c>
      <c r="E452" s="14" t="s">
        <v>1082</v>
      </c>
      <c r="F452" s="15">
        <v>1</v>
      </c>
      <c r="G452" s="16">
        <v>1</v>
      </c>
      <c r="H452" s="17">
        <f>F452 * G452 * 2108.77542</f>
        <v>2108.7754199999999</v>
      </c>
      <c r="I452" s="17">
        <f>F452 * G452 * 6861.709979</f>
        <v>6861.7099790000002</v>
      </c>
      <c r="J452" s="17">
        <f>F452 * G452 * 425.5848</f>
        <v>425.58479999999997</v>
      </c>
      <c r="K452" s="17">
        <f>F452 * G452 * 2242.22592099999</f>
        <v>2242.2259209999902</v>
      </c>
      <c r="L452" s="17">
        <f>F452 * G452 * 2123.989042</f>
        <v>2123.9890420000002</v>
      </c>
      <c r="M452" s="17">
        <f t="shared" ref="M452:M469" si="68">F452 * G452 * 0</f>
        <v>0</v>
      </c>
      <c r="N452" s="23">
        <f t="shared" si="66"/>
        <v>137.62285161999992</v>
      </c>
      <c r="O452" s="18">
        <f t="shared" ref="O452:O469" si="69">SUM(H452:M452)</f>
        <v>13762.285161999993</v>
      </c>
    </row>
    <row r="453" spans="2:15">
      <c r="B453" s="12">
        <v>450</v>
      </c>
      <c r="C453" s="13" t="s">
        <v>1083</v>
      </c>
      <c r="D453" s="14" t="s">
        <v>1084</v>
      </c>
      <c r="E453" s="14" t="s">
        <v>1085</v>
      </c>
      <c r="F453" s="15">
        <v>1</v>
      </c>
      <c r="G453" s="16">
        <v>1</v>
      </c>
      <c r="H453" s="17">
        <f>F453 * G453 * 1436.541372</f>
        <v>1436.5413719999999</v>
      </c>
      <c r="I453" s="17">
        <f>F453 * G453 * 48.895837</f>
        <v>48.895837</v>
      </c>
      <c r="J453" s="17">
        <f>F453 * G453 * 600.2899</f>
        <v>600.28989999999999</v>
      </c>
      <c r="K453" s="17">
        <f>F453 * G453 * 1621.725224</f>
        <v>1621.725224</v>
      </c>
      <c r="L453" s="17">
        <f>F453 * G453 * 676.610051</f>
        <v>676.610051</v>
      </c>
      <c r="M453" s="17">
        <f t="shared" si="68"/>
        <v>0</v>
      </c>
      <c r="N453" s="23">
        <f t="shared" si="66"/>
        <v>43.840623839999999</v>
      </c>
      <c r="O453" s="18">
        <f t="shared" si="69"/>
        <v>4384.0623839999998</v>
      </c>
    </row>
    <row r="454" spans="2:15">
      <c r="B454" s="12">
        <v>451</v>
      </c>
      <c r="C454" s="13" t="s">
        <v>1086</v>
      </c>
      <c r="D454" s="14" t="s">
        <v>1087</v>
      </c>
      <c r="E454" s="14" t="s">
        <v>99</v>
      </c>
      <c r="F454" s="15">
        <v>1</v>
      </c>
      <c r="G454" s="16">
        <v>1</v>
      </c>
      <c r="H454" s="17">
        <f>F454 * G454 * 1479.315639</f>
        <v>1479.3156389999999</v>
      </c>
      <c r="I454" s="17">
        <f>F454 * G454 * 910.969742</f>
        <v>910.969742</v>
      </c>
      <c r="J454" s="17">
        <f t="shared" ref="J454:J469" si="70">F454 * G454 * 0</f>
        <v>0</v>
      </c>
      <c r="K454" s="17">
        <f>F454 * G454 * 1482.27427</f>
        <v>1482.2742699999999</v>
      </c>
      <c r="L454" s="17">
        <f>F454 * G454 * 706.742137</f>
        <v>706.74213699999996</v>
      </c>
      <c r="M454" s="17">
        <f t="shared" si="68"/>
        <v>0</v>
      </c>
      <c r="N454" s="23">
        <f t="shared" si="66"/>
        <v>45.793017880000001</v>
      </c>
      <c r="O454" s="18">
        <f t="shared" si="69"/>
        <v>4579.3017879999998</v>
      </c>
    </row>
    <row r="455" spans="2:15">
      <c r="B455" s="12">
        <v>452</v>
      </c>
      <c r="C455" s="13" t="s">
        <v>1088</v>
      </c>
      <c r="D455" s="14" t="s">
        <v>1089</v>
      </c>
      <c r="E455" s="14" t="s">
        <v>99</v>
      </c>
      <c r="F455" s="15">
        <v>1</v>
      </c>
      <c r="G455" s="16">
        <v>1</v>
      </c>
      <c r="H455" s="17">
        <f>F455 * G455 * 32008.8358</f>
        <v>32008.835800000001</v>
      </c>
      <c r="I455" s="17">
        <f>F455 * G455 * 216569.81358</f>
        <v>216569.81357999999</v>
      </c>
      <c r="J455" s="17">
        <f t="shared" si="70"/>
        <v>0</v>
      </c>
      <c r="K455" s="17">
        <f>F455 * G455 * 32072.853472</f>
        <v>32072.853471999999</v>
      </c>
      <c r="L455" s="17">
        <f>F455 * G455 * 51218.899271</f>
        <v>51218.899271000002</v>
      </c>
      <c r="M455" s="17">
        <f t="shared" si="68"/>
        <v>0</v>
      </c>
      <c r="N455" s="23">
        <f t="shared" si="66"/>
        <v>3318.7040212299999</v>
      </c>
      <c r="O455" s="18">
        <f t="shared" si="69"/>
        <v>331870.40212300001</v>
      </c>
    </row>
    <row r="456" spans="2:15">
      <c r="B456" s="12">
        <v>453</v>
      </c>
      <c r="C456" s="13" t="s">
        <v>1090</v>
      </c>
      <c r="D456" s="14" t="s">
        <v>1091</v>
      </c>
      <c r="E456" s="14" t="s">
        <v>963</v>
      </c>
      <c r="F456" s="15">
        <v>1</v>
      </c>
      <c r="G456" s="16">
        <v>1</v>
      </c>
      <c r="H456" s="17">
        <f>F456 * G456 * 649.102164</f>
        <v>649.10216400000002</v>
      </c>
      <c r="I456" s="17">
        <f>F456 * G456 * 8787.08484</f>
        <v>8787.0848399999995</v>
      </c>
      <c r="J456" s="17">
        <f t="shared" si="70"/>
        <v>0</v>
      </c>
      <c r="K456" s="17">
        <f>F456 * G456 * 650.400369</f>
        <v>650.40036899999996</v>
      </c>
      <c r="L456" s="17">
        <f>F456 * G456 * 1840.802196</f>
        <v>1840.8021960000001</v>
      </c>
      <c r="M456" s="17">
        <f t="shared" si="68"/>
        <v>0</v>
      </c>
      <c r="N456" s="23">
        <f>O456/G456/F456</f>
        <v>11927.389568999999</v>
      </c>
      <c r="O456" s="18">
        <f t="shared" si="69"/>
        <v>11927.389568999999</v>
      </c>
    </row>
    <row r="457" spans="2:15">
      <c r="B457" s="12">
        <v>454</v>
      </c>
      <c r="C457" s="13" t="s">
        <v>1092</v>
      </c>
      <c r="D457" s="14" t="s">
        <v>1093</v>
      </c>
      <c r="E457" s="14" t="s">
        <v>963</v>
      </c>
      <c r="F457" s="15">
        <v>1</v>
      </c>
      <c r="G457" s="16">
        <v>1</v>
      </c>
      <c r="H457" s="17">
        <f>F457 * G457 * 649.102164</f>
        <v>649.10216400000002</v>
      </c>
      <c r="I457" s="17">
        <f>F457 * G457 * 9953.59848</f>
        <v>9953.5984800000006</v>
      </c>
      <c r="J457" s="17">
        <f t="shared" si="70"/>
        <v>0</v>
      </c>
      <c r="K457" s="17">
        <f>F457 * G457 * 650.400369</f>
        <v>650.40036899999996</v>
      </c>
      <c r="L457" s="17">
        <f>F457 * G457 * 2053.690935</f>
        <v>2053.6909350000001</v>
      </c>
      <c r="M457" s="17">
        <f t="shared" si="68"/>
        <v>0</v>
      </c>
      <c r="N457" s="23">
        <f t="shared" ref="N457:N468" si="71">O457/G457/F457</f>
        <v>13306.791948</v>
      </c>
      <c r="O457" s="18">
        <f t="shared" si="69"/>
        <v>13306.791948</v>
      </c>
    </row>
    <row r="458" spans="2:15">
      <c r="B458" s="12">
        <v>455</v>
      </c>
      <c r="C458" s="13" t="s">
        <v>1094</v>
      </c>
      <c r="D458" s="14" t="s">
        <v>1095</v>
      </c>
      <c r="E458" s="14" t="s">
        <v>963</v>
      </c>
      <c r="F458" s="15">
        <v>1</v>
      </c>
      <c r="G458" s="16">
        <v>1</v>
      </c>
      <c r="H458" s="17">
        <f>F458 * G458 * 649.102164</f>
        <v>649.10216400000002</v>
      </c>
      <c r="I458" s="17">
        <f>F458 * G458 * 16395.01488</f>
        <v>16395.014879999999</v>
      </c>
      <c r="J458" s="17">
        <f t="shared" si="70"/>
        <v>0</v>
      </c>
      <c r="K458" s="17">
        <f>F458 * G458 * 650.400369</f>
        <v>650.40036899999996</v>
      </c>
      <c r="L458" s="17">
        <f>F458 * G458 * 3229.249428</f>
        <v>3229.2494280000001</v>
      </c>
      <c r="M458" s="17">
        <f t="shared" si="68"/>
        <v>0</v>
      </c>
      <c r="N458" s="23">
        <f t="shared" si="71"/>
        <v>20923.766840999997</v>
      </c>
      <c r="O458" s="18">
        <f t="shared" si="69"/>
        <v>20923.766840999997</v>
      </c>
    </row>
    <row r="459" spans="2:15">
      <c r="B459" s="12">
        <v>456</v>
      </c>
      <c r="C459" s="13" t="s">
        <v>1096</v>
      </c>
      <c r="D459" s="14" t="s">
        <v>1097</v>
      </c>
      <c r="E459" s="14" t="s">
        <v>970</v>
      </c>
      <c r="F459" s="15">
        <v>1</v>
      </c>
      <c r="G459" s="16">
        <v>1</v>
      </c>
      <c r="H459" s="17">
        <f>F459 * G459 * 930.640452</f>
        <v>930.64045199999998</v>
      </c>
      <c r="I459" s="17">
        <f>F459 * G459 * 19708.262902</f>
        <v>19708.262901999999</v>
      </c>
      <c r="J459" s="17">
        <f t="shared" si="70"/>
        <v>0</v>
      </c>
      <c r="K459" s="17">
        <f>F459 * G459 * 932.501733</f>
        <v>932.50173299999994</v>
      </c>
      <c r="L459" s="17">
        <f>F459 * G459 * 3936.78142899999</f>
        <v>3936.7814289999901</v>
      </c>
      <c r="M459" s="17">
        <f t="shared" si="68"/>
        <v>0</v>
      </c>
      <c r="N459" s="23">
        <f t="shared" si="71"/>
        <v>25508.186515999991</v>
      </c>
      <c r="O459" s="18">
        <f t="shared" si="69"/>
        <v>25508.186515999991</v>
      </c>
    </row>
    <row r="460" spans="2:15">
      <c r="B460" s="12">
        <v>457</v>
      </c>
      <c r="C460" s="13" t="s">
        <v>1098</v>
      </c>
      <c r="D460" s="14" t="s">
        <v>1099</v>
      </c>
      <c r="E460" s="14" t="s">
        <v>970</v>
      </c>
      <c r="F460" s="15">
        <v>1</v>
      </c>
      <c r="G460" s="16">
        <v>1</v>
      </c>
      <c r="H460" s="17">
        <f>F460 * G460 * 1652.082315</f>
        <v>1652.0823150000001</v>
      </c>
      <c r="I460" s="17">
        <f>F460 * G460 * 30641.463726</f>
        <v>30641.463726000002</v>
      </c>
      <c r="J460" s="17">
        <f t="shared" si="70"/>
        <v>0</v>
      </c>
      <c r="K460" s="17">
        <f>F460 * G460 * 1655.38648</f>
        <v>1655.3864799999999</v>
      </c>
      <c r="L460" s="17">
        <f>F460 * G460 * 6195.68018499999</f>
        <v>6195.6801849999902</v>
      </c>
      <c r="M460" s="17">
        <f t="shared" si="68"/>
        <v>0</v>
      </c>
      <c r="N460" s="23">
        <f t="shared" si="71"/>
        <v>40144.612705999993</v>
      </c>
      <c r="O460" s="18">
        <f t="shared" si="69"/>
        <v>40144.612705999993</v>
      </c>
    </row>
    <row r="461" spans="2:15">
      <c r="B461" s="12">
        <v>458</v>
      </c>
      <c r="C461" s="13" t="s">
        <v>1100</v>
      </c>
      <c r="D461" s="14" t="s">
        <v>1101</v>
      </c>
      <c r="E461" s="14" t="s">
        <v>975</v>
      </c>
      <c r="F461" s="15">
        <v>1</v>
      </c>
      <c r="G461" s="16">
        <v>1</v>
      </c>
      <c r="H461" s="17">
        <f>F461 * G461 * 1733.847467</f>
        <v>1733.8474670000001</v>
      </c>
      <c r="I461" s="17">
        <f>F461 * G461 * 2460.646143</f>
        <v>2460.6461429999999</v>
      </c>
      <c r="J461" s="17">
        <f t="shared" si="70"/>
        <v>0</v>
      </c>
      <c r="K461" s="17">
        <f>F461 * G461 * 1737.31516199999</f>
        <v>1737.3151619999901</v>
      </c>
      <c r="L461" s="17">
        <f>F461 * G461 * 1082.555101</f>
        <v>1082.5551009999999</v>
      </c>
      <c r="M461" s="17">
        <f t="shared" si="68"/>
        <v>0</v>
      </c>
      <c r="N461" s="23">
        <f t="shared" si="71"/>
        <v>7014.3638729999893</v>
      </c>
      <c r="O461" s="18">
        <f t="shared" si="69"/>
        <v>7014.3638729999893</v>
      </c>
    </row>
    <row r="462" spans="2:15">
      <c r="B462" s="12">
        <v>459</v>
      </c>
      <c r="C462" s="13" t="s">
        <v>1102</v>
      </c>
      <c r="D462" s="14" t="s">
        <v>1103</v>
      </c>
      <c r="E462" s="14" t="s">
        <v>978</v>
      </c>
      <c r="F462" s="15">
        <v>1</v>
      </c>
      <c r="G462" s="16">
        <v>1</v>
      </c>
      <c r="H462" s="17">
        <f>F462 * G462 * 1380.099054</f>
        <v>1380.099054</v>
      </c>
      <c r="I462" s="17">
        <f>F462 * G462 * 27043.231457</f>
        <v>27043.231457000002</v>
      </c>
      <c r="J462" s="17">
        <f t="shared" si="70"/>
        <v>0</v>
      </c>
      <c r="K462" s="17">
        <f>F462 * G462 * 1382.859252</f>
        <v>1382.859252</v>
      </c>
      <c r="L462" s="17">
        <f>F462 * G462 * 5439.629632</f>
        <v>5439.6296320000001</v>
      </c>
      <c r="M462" s="17">
        <f t="shared" si="68"/>
        <v>0</v>
      </c>
      <c r="N462" s="23">
        <f t="shared" si="71"/>
        <v>35245.819394999999</v>
      </c>
      <c r="O462" s="18">
        <f t="shared" si="69"/>
        <v>35245.819394999999</v>
      </c>
    </row>
    <row r="463" spans="2:15">
      <c r="B463" s="12">
        <v>460</v>
      </c>
      <c r="C463" s="13" t="s">
        <v>1104</v>
      </c>
      <c r="D463" s="14" t="s">
        <v>1105</v>
      </c>
      <c r="E463" s="14" t="s">
        <v>981</v>
      </c>
      <c r="F463" s="15">
        <v>1</v>
      </c>
      <c r="G463" s="16">
        <v>1</v>
      </c>
      <c r="H463" s="17">
        <f>F463 * G463 * 920.066036</f>
        <v>920.06603600000005</v>
      </c>
      <c r="I463" s="17">
        <f>F463 * G463 * 15327.192364</f>
        <v>15327.192364</v>
      </c>
      <c r="J463" s="17">
        <f t="shared" si="70"/>
        <v>0</v>
      </c>
      <c r="K463" s="17">
        <f>F463 * G463 * 921.906168</f>
        <v>921.90616799999998</v>
      </c>
      <c r="L463" s="17">
        <f>F463 * G463 * 3133.372534</f>
        <v>3133.3725340000001</v>
      </c>
      <c r="M463" s="17">
        <f t="shared" si="68"/>
        <v>0</v>
      </c>
      <c r="N463" s="23">
        <f t="shared" si="71"/>
        <v>20302.537102000002</v>
      </c>
      <c r="O463" s="18">
        <f t="shared" si="69"/>
        <v>20302.537102000002</v>
      </c>
    </row>
    <row r="464" spans="2:15">
      <c r="B464" s="12">
        <v>461</v>
      </c>
      <c r="C464" s="13" t="s">
        <v>1106</v>
      </c>
      <c r="D464" s="14" t="s">
        <v>1107</v>
      </c>
      <c r="E464" s="14" t="s">
        <v>984</v>
      </c>
      <c r="F464" s="15">
        <v>1</v>
      </c>
      <c r="G464" s="16">
        <v>1</v>
      </c>
      <c r="H464" s="17">
        <f>F464 * G464 * 920.066036</f>
        <v>920.06603600000005</v>
      </c>
      <c r="I464" s="17">
        <f>F464 * G464 * 10192.651324</f>
        <v>10192.651324</v>
      </c>
      <c r="J464" s="17">
        <f t="shared" si="70"/>
        <v>0</v>
      </c>
      <c r="K464" s="17">
        <f>F464 * G464 * 921.906168</f>
        <v>921.90616799999998</v>
      </c>
      <c r="L464" s="17">
        <f>F464 * G464 * 2196.318794</f>
        <v>2196.3187939999998</v>
      </c>
      <c r="M464" s="17">
        <f t="shared" si="68"/>
        <v>0</v>
      </c>
      <c r="N464" s="23">
        <f t="shared" si="71"/>
        <v>14230.942321999999</v>
      </c>
      <c r="O464" s="18">
        <f t="shared" si="69"/>
        <v>14230.942321999999</v>
      </c>
    </row>
    <row r="465" spans="2:15" ht="25.5">
      <c r="B465" s="12">
        <v>462</v>
      </c>
      <c r="C465" s="13" t="s">
        <v>1108</v>
      </c>
      <c r="D465" s="14" t="s">
        <v>1109</v>
      </c>
      <c r="E465" s="14" t="s">
        <v>992</v>
      </c>
      <c r="F465" s="15">
        <v>1</v>
      </c>
      <c r="G465" s="16">
        <v>1</v>
      </c>
      <c r="H465" s="17">
        <f>F465 * G465 * 408.621262</f>
        <v>408.621262</v>
      </c>
      <c r="I465" s="17">
        <f>F465 * G465 * 2842.25962</f>
        <v>2842.2596199999998</v>
      </c>
      <c r="J465" s="17">
        <f t="shared" si="70"/>
        <v>0</v>
      </c>
      <c r="K465" s="17">
        <f>F465 * G465 * 409.438503999999</f>
        <v>409.438503999999</v>
      </c>
      <c r="L465" s="17">
        <f>F465 * G465 * 668.008288</f>
        <v>668.00828799999999</v>
      </c>
      <c r="M465" s="17">
        <f t="shared" si="68"/>
        <v>0</v>
      </c>
      <c r="N465" s="23">
        <f t="shared" si="71"/>
        <v>4328.3276739999983</v>
      </c>
      <c r="O465" s="18">
        <f t="shared" si="69"/>
        <v>4328.3276739999983</v>
      </c>
    </row>
    <row r="466" spans="2:15">
      <c r="B466" s="12">
        <v>463</v>
      </c>
      <c r="C466" s="13" t="s">
        <v>1110</v>
      </c>
      <c r="D466" s="14" t="s">
        <v>1111</v>
      </c>
      <c r="E466" s="14" t="s">
        <v>992</v>
      </c>
      <c r="F466" s="15">
        <v>1</v>
      </c>
      <c r="G466" s="16">
        <v>1</v>
      </c>
      <c r="H466" s="17">
        <f>F466 * G466 * 474.695279</f>
        <v>474.69527900000003</v>
      </c>
      <c r="I466" s="17">
        <f>F466 * G466 * 272.417192</f>
        <v>272.417192</v>
      </c>
      <c r="J466" s="17">
        <f t="shared" si="70"/>
        <v>0</v>
      </c>
      <c r="K466" s="17">
        <f>F466 * G466 * 475.644669</f>
        <v>475.64466900000002</v>
      </c>
      <c r="L466" s="17">
        <f>F466 * G466 * 223.153179</f>
        <v>223.15317899999999</v>
      </c>
      <c r="M466" s="17">
        <f t="shared" si="68"/>
        <v>0</v>
      </c>
      <c r="N466" s="23">
        <f t="shared" si="71"/>
        <v>1445.9103190000001</v>
      </c>
      <c r="O466" s="18">
        <f t="shared" si="69"/>
        <v>1445.9103190000001</v>
      </c>
    </row>
    <row r="467" spans="2:15">
      <c r="B467" s="12">
        <v>464</v>
      </c>
      <c r="C467" s="13" t="s">
        <v>1112</v>
      </c>
      <c r="D467" s="14" t="s">
        <v>1113</v>
      </c>
      <c r="E467" s="14" t="s">
        <v>1114</v>
      </c>
      <c r="F467" s="15">
        <v>1</v>
      </c>
      <c r="G467" s="16">
        <v>1</v>
      </c>
      <c r="H467" s="17">
        <f>F467 * G467 * 240.441538</f>
        <v>240.44153800000001</v>
      </c>
      <c r="I467" s="17">
        <f>F467 * G467 * 863.791709</f>
        <v>863.79170899999997</v>
      </c>
      <c r="J467" s="17">
        <f t="shared" si="70"/>
        <v>0</v>
      </c>
      <c r="K467" s="17">
        <f>F467 * G467 * 240.922420999999</f>
        <v>240.92242099999899</v>
      </c>
      <c r="L467" s="17">
        <f>F467 * G467 * 245.490909</f>
        <v>245.49090899999999</v>
      </c>
      <c r="M467" s="17">
        <f t="shared" si="68"/>
        <v>0</v>
      </c>
      <c r="N467" s="23">
        <f t="shared" si="71"/>
        <v>1590.6465769999991</v>
      </c>
      <c r="O467" s="18">
        <f t="shared" si="69"/>
        <v>1590.6465769999991</v>
      </c>
    </row>
    <row r="468" spans="2:15">
      <c r="B468" s="12">
        <v>465</v>
      </c>
      <c r="C468" s="13" t="s">
        <v>1115</v>
      </c>
      <c r="D468" s="14" t="s">
        <v>1116</v>
      </c>
      <c r="E468" s="14" t="s">
        <v>1114</v>
      </c>
      <c r="F468" s="15">
        <v>1</v>
      </c>
      <c r="G468" s="16">
        <v>1</v>
      </c>
      <c r="H468" s="17">
        <f>F468 * G468 * 412.857468</f>
        <v>412.85746799999998</v>
      </c>
      <c r="I468" s="17">
        <f>F468 * G468 * 1943.756429</f>
        <v>1943.756429</v>
      </c>
      <c r="J468" s="17">
        <f t="shared" si="70"/>
        <v>0</v>
      </c>
      <c r="K468" s="17">
        <f>F468 * G468 * 413.683183</f>
        <v>413.68318299999999</v>
      </c>
      <c r="L468" s="17">
        <f>F468 * G468 * 505.579216999999</f>
        <v>505.57921699999901</v>
      </c>
      <c r="M468" s="17">
        <f t="shared" si="68"/>
        <v>0</v>
      </c>
      <c r="N468" s="23">
        <f t="shared" si="71"/>
        <v>3275.8762969999993</v>
      </c>
      <c r="O468" s="18">
        <f t="shared" si="69"/>
        <v>3275.8762969999993</v>
      </c>
    </row>
    <row r="469" spans="2:15" ht="26.25" thickBot="1">
      <c r="B469" s="12">
        <v>466</v>
      </c>
      <c r="C469" s="13" t="s">
        <v>1117</v>
      </c>
      <c r="D469" s="14" t="s">
        <v>1118</v>
      </c>
      <c r="E469" s="14" t="s">
        <v>1119</v>
      </c>
      <c r="F469" s="15">
        <v>1</v>
      </c>
      <c r="G469" s="16">
        <v>1</v>
      </c>
      <c r="H469" s="17">
        <f>F469 * G469 * 2346.1524</f>
        <v>2346.1523999999999</v>
      </c>
      <c r="I469" s="17">
        <f>F469 * G469 * 20342.848021</f>
        <v>20342.848021000002</v>
      </c>
      <c r="J469" s="17">
        <f t="shared" si="70"/>
        <v>0</v>
      </c>
      <c r="K469" s="17">
        <f>F469 * G469 * 2350.844705</f>
        <v>2350.844705</v>
      </c>
      <c r="L469" s="17">
        <f>F469 * G469 * 4569.771735</f>
        <v>4569.7717350000003</v>
      </c>
      <c r="M469" s="17">
        <f t="shared" si="68"/>
        <v>0</v>
      </c>
      <c r="N469" s="23">
        <f t="shared" si="66"/>
        <v>296.09616861000001</v>
      </c>
      <c r="O469" s="18">
        <f t="shared" si="69"/>
        <v>29609.616861000002</v>
      </c>
    </row>
    <row r="470" spans="2:15" s="19" customFormat="1" ht="20.100000000000001" customHeight="1" thickTop="1" thickBot="1">
      <c r="B470" s="26" t="s">
        <v>1120</v>
      </c>
      <c r="C470" s="26"/>
      <c r="D470" s="26"/>
      <c r="E470" s="26"/>
      <c r="F470" s="26"/>
      <c r="G470" s="26"/>
      <c r="H470" s="20">
        <f t="shared" ref="H470:O470" si="72">SUM(H4:H469)</f>
        <v>10094769.534356002</v>
      </c>
      <c r="I470" s="20">
        <f t="shared" si="72"/>
        <v>18006593.073581018</v>
      </c>
      <c r="J470" s="20">
        <f t="shared" si="72"/>
        <v>317043.76577999984</v>
      </c>
      <c r="K470" s="20">
        <f t="shared" si="72"/>
        <v>10189407.523104986</v>
      </c>
      <c r="L470" s="20">
        <f t="shared" si="72"/>
        <v>7045926.0357239852</v>
      </c>
      <c r="M470" s="20">
        <f t="shared" si="72"/>
        <v>0</v>
      </c>
      <c r="N470" s="24"/>
      <c r="O470" s="21">
        <f t="shared" si="72"/>
        <v>45653739.932546042</v>
      </c>
    </row>
    <row r="473" spans="2:15" ht="47.25">
      <c r="D473" s="22" t="s">
        <v>1121</v>
      </c>
    </row>
  </sheetData>
  <mergeCells count="2">
    <mergeCell ref="B470:G470"/>
    <mergeCell ref="B1:O2"/>
  </mergeCells>
  <pageMargins left="0.7" right="0.7" top="0.75" bottom="0.75" header="0.3" footer="0.3"/>
  <pageSetup paperSize="9" scale="98" fitToHeight="0" orientation="landscape" horizontalDpi="4294967295" verticalDpi="4294967295" r:id="rId1"/>
  <headerFooter>
    <oddHeader>&amp;C&amp;KCCCCCC&amp;"Arial"Стоимость работ и услуг - копия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Стоимость работ и услуг - копия</dc:title>
  <dc:subject/>
  <dc:creator/>
  <cp:keywords/>
  <dc:description/>
  <cp:lastModifiedBy/>
  <cp:lastPrinted>2022-01-24T13:06:18Z</cp:lastPrinted>
  <dcterms:created xsi:type="dcterms:W3CDTF">2022-01-24T13:06:18Z</dcterms:created>
  <dcterms:modified xsi:type="dcterms:W3CDTF">2022-01-25T08:35:41Z</dcterms:modified>
  <cp:category/>
</cp:coreProperties>
</file>