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/>
  <bookViews>
    <workbookView xWindow="240" yWindow="525" windowWidth="28455" windowHeight="11700"/>
  </bookViews>
  <sheets>
    <sheet name="Смета" sheetId="1" r:id="rId1"/>
  </sheets>
  <definedNames>
    <definedName name="_xlnm.Print_Titles" localSheetId="0">Смета!$3:$3</definedName>
  </definedNames>
  <calcPr calcId="124519"/>
</workbook>
</file>

<file path=xl/calcChain.xml><?xml version="1.0" encoding="utf-8"?>
<calcChain xmlns="http://schemas.openxmlformats.org/spreadsheetml/2006/main">
  <c r="K469" i="1"/>
  <c r="J469"/>
  <c r="I469"/>
  <c r="H469"/>
  <c r="G469"/>
  <c r="K468"/>
  <c r="J468"/>
  <c r="I468"/>
  <c r="H468"/>
  <c r="G468"/>
  <c r="K467"/>
  <c r="J467"/>
  <c r="I467"/>
  <c r="H467"/>
  <c r="G467"/>
  <c r="M467" s="1"/>
  <c r="L467" s="1"/>
  <c r="K466"/>
  <c r="J466"/>
  <c r="I466"/>
  <c r="H466"/>
  <c r="G466"/>
  <c r="K465"/>
  <c r="J465"/>
  <c r="I465"/>
  <c r="H465"/>
  <c r="G465"/>
  <c r="M465" s="1"/>
  <c r="L465" s="1"/>
  <c r="K464"/>
  <c r="J464"/>
  <c r="I464"/>
  <c r="H464"/>
  <c r="G464"/>
  <c r="K463"/>
  <c r="J463"/>
  <c r="I463"/>
  <c r="H463"/>
  <c r="G463"/>
  <c r="M463" s="1"/>
  <c r="L463" s="1"/>
  <c r="K462"/>
  <c r="J462"/>
  <c r="I462"/>
  <c r="H462"/>
  <c r="G462"/>
  <c r="K461"/>
  <c r="J461"/>
  <c r="I461"/>
  <c r="H461"/>
  <c r="G461"/>
  <c r="M461" s="1"/>
  <c r="L461" s="1"/>
  <c r="K460"/>
  <c r="J460"/>
  <c r="I460"/>
  <c r="H460"/>
  <c r="G460"/>
  <c r="K459"/>
  <c r="J459"/>
  <c r="I459"/>
  <c r="H459"/>
  <c r="G459"/>
  <c r="M459" s="1"/>
  <c r="L459" s="1"/>
  <c r="K458"/>
  <c r="J458"/>
  <c r="I458"/>
  <c r="H458"/>
  <c r="G458"/>
  <c r="K457"/>
  <c r="J457"/>
  <c r="I457"/>
  <c r="H457"/>
  <c r="G457"/>
  <c r="M457" s="1"/>
  <c r="L457" s="1"/>
  <c r="K456"/>
  <c r="J456"/>
  <c r="I456"/>
  <c r="H456"/>
  <c r="G456"/>
  <c r="K455"/>
  <c r="J455"/>
  <c r="I455"/>
  <c r="H455"/>
  <c r="G455"/>
  <c r="M455" s="1"/>
  <c r="L455" s="1"/>
  <c r="K454"/>
  <c r="J454"/>
  <c r="I454"/>
  <c r="H454"/>
  <c r="G454"/>
  <c r="K453"/>
  <c r="J453"/>
  <c r="I453"/>
  <c r="H453"/>
  <c r="G453"/>
  <c r="M453" s="1"/>
  <c r="L453" s="1"/>
  <c r="K452"/>
  <c r="J452"/>
  <c r="I452"/>
  <c r="H452"/>
  <c r="G452"/>
  <c r="K451"/>
  <c r="J451"/>
  <c r="I451"/>
  <c r="H451"/>
  <c r="G451"/>
  <c r="M451" s="1"/>
  <c r="L451" s="1"/>
  <c r="K450"/>
  <c r="J450"/>
  <c r="I450"/>
  <c r="H450"/>
  <c r="G450"/>
  <c r="K449"/>
  <c r="J449"/>
  <c r="I449"/>
  <c r="H449"/>
  <c r="G449"/>
  <c r="M449" s="1"/>
  <c r="L449" s="1"/>
  <c r="K448"/>
  <c r="J448"/>
  <c r="I448"/>
  <c r="H448"/>
  <c r="G448"/>
  <c r="K447"/>
  <c r="J447"/>
  <c r="I447"/>
  <c r="H447"/>
  <c r="G447"/>
  <c r="M447" s="1"/>
  <c r="L447" s="1"/>
  <c r="K446"/>
  <c r="J446"/>
  <c r="I446"/>
  <c r="H446"/>
  <c r="G446"/>
  <c r="K445"/>
  <c r="J445"/>
  <c r="I445"/>
  <c r="H445"/>
  <c r="G445"/>
  <c r="M445" s="1"/>
  <c r="L445" s="1"/>
  <c r="K444"/>
  <c r="J444"/>
  <c r="I444"/>
  <c r="H444"/>
  <c r="G444"/>
  <c r="K443"/>
  <c r="J443"/>
  <c r="I443"/>
  <c r="H443"/>
  <c r="G443"/>
  <c r="M443" s="1"/>
  <c r="L443" s="1"/>
  <c r="K442"/>
  <c r="J442"/>
  <c r="I442"/>
  <c r="H442"/>
  <c r="G442"/>
  <c r="K441"/>
  <c r="J441"/>
  <c r="I441"/>
  <c r="H441"/>
  <c r="G441"/>
  <c r="M441" s="1"/>
  <c r="L441" s="1"/>
  <c r="K440"/>
  <c r="J440"/>
  <c r="I440"/>
  <c r="H440"/>
  <c r="G440"/>
  <c r="K439"/>
  <c r="J439"/>
  <c r="I439"/>
  <c r="H439"/>
  <c r="G439"/>
  <c r="M439" s="1"/>
  <c r="L439" s="1"/>
  <c r="K438"/>
  <c r="J438"/>
  <c r="I438"/>
  <c r="H438"/>
  <c r="G438"/>
  <c r="K437"/>
  <c r="J437"/>
  <c r="I437"/>
  <c r="H437"/>
  <c r="G437"/>
  <c r="M437" s="1"/>
  <c r="L437" s="1"/>
  <c r="K436"/>
  <c r="J436"/>
  <c r="I436"/>
  <c r="H436"/>
  <c r="G436"/>
  <c r="K435"/>
  <c r="J435"/>
  <c r="I435"/>
  <c r="H435"/>
  <c r="G435"/>
  <c r="M435" s="1"/>
  <c r="L435" s="1"/>
  <c r="K434"/>
  <c r="J434"/>
  <c r="I434"/>
  <c r="H434"/>
  <c r="G434"/>
  <c r="K433"/>
  <c r="J433"/>
  <c r="I433"/>
  <c r="H433"/>
  <c r="G433"/>
  <c r="M433" s="1"/>
  <c r="L433" s="1"/>
  <c r="K432"/>
  <c r="J432"/>
  <c r="I432"/>
  <c r="H432"/>
  <c r="G432"/>
  <c r="K431"/>
  <c r="J431"/>
  <c r="I431"/>
  <c r="H431"/>
  <c r="G431"/>
  <c r="M431" s="1"/>
  <c r="L431" s="1"/>
  <c r="K430"/>
  <c r="J430"/>
  <c r="I430"/>
  <c r="H430"/>
  <c r="G430"/>
  <c r="K429"/>
  <c r="J429"/>
  <c r="I429"/>
  <c r="H429"/>
  <c r="G429"/>
  <c r="M429" s="1"/>
  <c r="L429" s="1"/>
  <c r="K428"/>
  <c r="J428"/>
  <c r="I428"/>
  <c r="H428"/>
  <c r="G428"/>
  <c r="K427"/>
  <c r="J427"/>
  <c r="I427"/>
  <c r="H427"/>
  <c r="G427"/>
  <c r="M427" s="1"/>
  <c r="L427" s="1"/>
  <c r="K426"/>
  <c r="J426"/>
  <c r="I426"/>
  <c r="H426"/>
  <c r="G426"/>
  <c r="K425"/>
  <c r="J425"/>
  <c r="I425"/>
  <c r="H425"/>
  <c r="G425"/>
  <c r="M425" s="1"/>
  <c r="L425" s="1"/>
  <c r="K424"/>
  <c r="J424"/>
  <c r="I424"/>
  <c r="H424"/>
  <c r="G424"/>
  <c r="K423"/>
  <c r="J423"/>
  <c r="I423"/>
  <c r="H423"/>
  <c r="G423"/>
  <c r="M423" s="1"/>
  <c r="L423" s="1"/>
  <c r="K422"/>
  <c r="J422"/>
  <c r="I422"/>
  <c r="H422"/>
  <c r="G422"/>
  <c r="K421"/>
  <c r="J421"/>
  <c r="I421"/>
  <c r="H421"/>
  <c r="G421"/>
  <c r="M421" s="1"/>
  <c r="L421" s="1"/>
  <c r="K420"/>
  <c r="J420"/>
  <c r="I420"/>
  <c r="H420"/>
  <c r="G420"/>
  <c r="K419"/>
  <c r="J419"/>
  <c r="I419"/>
  <c r="H419"/>
  <c r="G419"/>
  <c r="K418"/>
  <c r="J418"/>
  <c r="I418"/>
  <c r="H418"/>
  <c r="G418"/>
  <c r="K417"/>
  <c r="J417"/>
  <c r="I417"/>
  <c r="H417"/>
  <c r="G417"/>
  <c r="M417" s="1"/>
  <c r="L417" s="1"/>
  <c r="K416"/>
  <c r="J416"/>
  <c r="I416"/>
  <c r="H416"/>
  <c r="G416"/>
  <c r="K415"/>
  <c r="J415"/>
  <c r="I415"/>
  <c r="H415"/>
  <c r="G415"/>
  <c r="K414"/>
  <c r="J414"/>
  <c r="I414"/>
  <c r="H414"/>
  <c r="G414"/>
  <c r="K413"/>
  <c r="J413"/>
  <c r="I413"/>
  <c r="H413"/>
  <c r="G413"/>
  <c r="K412"/>
  <c r="J412"/>
  <c r="I412"/>
  <c r="H412"/>
  <c r="G412"/>
  <c r="K411"/>
  <c r="J411"/>
  <c r="I411"/>
  <c r="H411"/>
  <c r="G411"/>
  <c r="K410"/>
  <c r="J410"/>
  <c r="I410"/>
  <c r="H410"/>
  <c r="G410"/>
  <c r="K409"/>
  <c r="J409"/>
  <c r="I409"/>
  <c r="H409"/>
  <c r="G409"/>
  <c r="M409" s="1"/>
  <c r="L409" s="1"/>
  <c r="K408"/>
  <c r="J408"/>
  <c r="I408"/>
  <c r="H408"/>
  <c r="G408"/>
  <c r="K407"/>
  <c r="J407"/>
  <c r="I407"/>
  <c r="H407"/>
  <c r="G407"/>
  <c r="M407" s="1"/>
  <c r="L407" s="1"/>
  <c r="K406"/>
  <c r="J406"/>
  <c r="I406"/>
  <c r="H406"/>
  <c r="G406"/>
  <c r="K405"/>
  <c r="J405"/>
  <c r="I405"/>
  <c r="H405"/>
  <c r="G405"/>
  <c r="M405" s="1"/>
  <c r="L405" s="1"/>
  <c r="K404"/>
  <c r="J404"/>
  <c r="I404"/>
  <c r="H404"/>
  <c r="G404"/>
  <c r="K403"/>
  <c r="J403"/>
  <c r="I403"/>
  <c r="H403"/>
  <c r="G403"/>
  <c r="K402"/>
  <c r="J402"/>
  <c r="I402"/>
  <c r="H402"/>
  <c r="G402"/>
  <c r="K401"/>
  <c r="J401"/>
  <c r="I401"/>
  <c r="H401"/>
  <c r="G401"/>
  <c r="K400"/>
  <c r="J400"/>
  <c r="I400"/>
  <c r="H400"/>
  <c r="G400"/>
  <c r="K399"/>
  <c r="J399"/>
  <c r="I399"/>
  <c r="H399"/>
  <c r="G399"/>
  <c r="M399" s="1"/>
  <c r="L399" s="1"/>
  <c r="K398"/>
  <c r="J398"/>
  <c r="I398"/>
  <c r="H398"/>
  <c r="G398"/>
  <c r="K397"/>
  <c r="J397"/>
  <c r="I397"/>
  <c r="H397"/>
  <c r="G397"/>
  <c r="M397" s="1"/>
  <c r="L397" s="1"/>
  <c r="K396"/>
  <c r="J396"/>
  <c r="I396"/>
  <c r="H396"/>
  <c r="G396"/>
  <c r="K395"/>
  <c r="J395"/>
  <c r="I395"/>
  <c r="H395"/>
  <c r="G395"/>
  <c r="K394"/>
  <c r="J394"/>
  <c r="I394"/>
  <c r="H394"/>
  <c r="G394"/>
  <c r="K393"/>
  <c r="J393"/>
  <c r="I393"/>
  <c r="H393"/>
  <c r="G393"/>
  <c r="K392"/>
  <c r="J392"/>
  <c r="I392"/>
  <c r="H392"/>
  <c r="G392"/>
  <c r="K391"/>
  <c r="J391"/>
  <c r="I391"/>
  <c r="H391"/>
  <c r="G391"/>
  <c r="M391" s="1"/>
  <c r="L391" s="1"/>
  <c r="K390"/>
  <c r="J390"/>
  <c r="I390"/>
  <c r="H390"/>
  <c r="G390"/>
  <c r="K389"/>
  <c r="J389"/>
  <c r="I389"/>
  <c r="H389"/>
  <c r="G389"/>
  <c r="M389" s="1"/>
  <c r="L389" s="1"/>
  <c r="K388"/>
  <c r="J388"/>
  <c r="I388"/>
  <c r="H388"/>
  <c r="G388"/>
  <c r="K387"/>
  <c r="J387"/>
  <c r="I387"/>
  <c r="H387"/>
  <c r="G387"/>
  <c r="M387" s="1"/>
  <c r="L387" s="1"/>
  <c r="K386"/>
  <c r="J386"/>
  <c r="I386"/>
  <c r="H386"/>
  <c r="G386"/>
  <c r="K385"/>
  <c r="J385"/>
  <c r="I385"/>
  <c r="H385"/>
  <c r="G385"/>
  <c r="K384"/>
  <c r="J384"/>
  <c r="I384"/>
  <c r="H384"/>
  <c r="G384"/>
  <c r="K383"/>
  <c r="J383"/>
  <c r="I383"/>
  <c r="H383"/>
  <c r="G383"/>
  <c r="K382"/>
  <c r="J382"/>
  <c r="I382"/>
  <c r="H382"/>
  <c r="G382"/>
  <c r="K381"/>
  <c r="J381"/>
  <c r="I381"/>
  <c r="H381"/>
  <c r="G381"/>
  <c r="K380"/>
  <c r="J380"/>
  <c r="I380"/>
  <c r="H380"/>
  <c r="G380"/>
  <c r="K379"/>
  <c r="J379"/>
  <c r="I379"/>
  <c r="H379"/>
  <c r="G379"/>
  <c r="K378"/>
  <c r="J378"/>
  <c r="I378"/>
  <c r="H378"/>
  <c r="G378"/>
  <c r="K377"/>
  <c r="J377"/>
  <c r="I377"/>
  <c r="H377"/>
  <c r="G377"/>
  <c r="K376"/>
  <c r="J376"/>
  <c r="I376"/>
  <c r="H376"/>
  <c r="G376"/>
  <c r="K375"/>
  <c r="J375"/>
  <c r="I375"/>
  <c r="H375"/>
  <c r="G375"/>
  <c r="K374"/>
  <c r="J374"/>
  <c r="I374"/>
  <c r="H374"/>
  <c r="G374"/>
  <c r="K373"/>
  <c r="J373"/>
  <c r="I373"/>
  <c r="H373"/>
  <c r="G373"/>
  <c r="K372"/>
  <c r="J372"/>
  <c r="I372"/>
  <c r="H372"/>
  <c r="G372"/>
  <c r="K371"/>
  <c r="J371"/>
  <c r="I371"/>
  <c r="H371"/>
  <c r="G371"/>
  <c r="K370"/>
  <c r="J370"/>
  <c r="I370"/>
  <c r="H370"/>
  <c r="G370"/>
  <c r="K369"/>
  <c r="J369"/>
  <c r="I369"/>
  <c r="H369"/>
  <c r="G369"/>
  <c r="K368"/>
  <c r="J368"/>
  <c r="I368"/>
  <c r="H368"/>
  <c r="G368"/>
  <c r="K367"/>
  <c r="J367"/>
  <c r="I367"/>
  <c r="H367"/>
  <c r="G367"/>
  <c r="K366"/>
  <c r="J366"/>
  <c r="I366"/>
  <c r="H366"/>
  <c r="G366"/>
  <c r="K365"/>
  <c r="J365"/>
  <c r="I365"/>
  <c r="H365"/>
  <c r="G365"/>
  <c r="K364"/>
  <c r="J364"/>
  <c r="I364"/>
  <c r="H364"/>
  <c r="G364"/>
  <c r="K363"/>
  <c r="J363"/>
  <c r="I363"/>
  <c r="H363"/>
  <c r="G363"/>
  <c r="K362"/>
  <c r="J362"/>
  <c r="I362"/>
  <c r="H362"/>
  <c r="G362"/>
  <c r="K361"/>
  <c r="J361"/>
  <c r="I361"/>
  <c r="H361"/>
  <c r="G361"/>
  <c r="K360"/>
  <c r="J360"/>
  <c r="I360"/>
  <c r="H360"/>
  <c r="G360"/>
  <c r="K359"/>
  <c r="J359"/>
  <c r="I359"/>
  <c r="H359"/>
  <c r="G359"/>
  <c r="K358"/>
  <c r="J358"/>
  <c r="I358"/>
  <c r="H358"/>
  <c r="G358"/>
  <c r="K357"/>
  <c r="J357"/>
  <c r="I357"/>
  <c r="H357"/>
  <c r="G357"/>
  <c r="K356"/>
  <c r="J356"/>
  <c r="I356"/>
  <c r="H356"/>
  <c r="G356"/>
  <c r="K355"/>
  <c r="J355"/>
  <c r="I355"/>
  <c r="H355"/>
  <c r="G355"/>
  <c r="K354"/>
  <c r="J354"/>
  <c r="I354"/>
  <c r="H354"/>
  <c r="G354"/>
  <c r="K353"/>
  <c r="J353"/>
  <c r="I353"/>
  <c r="H353"/>
  <c r="G353"/>
  <c r="K352"/>
  <c r="J352"/>
  <c r="I352"/>
  <c r="H352"/>
  <c r="G352"/>
  <c r="K351"/>
  <c r="J351"/>
  <c r="I351"/>
  <c r="H351"/>
  <c r="G351"/>
  <c r="K350"/>
  <c r="J350"/>
  <c r="I350"/>
  <c r="H350"/>
  <c r="G350"/>
  <c r="K349"/>
  <c r="J349"/>
  <c r="I349"/>
  <c r="H349"/>
  <c r="G349"/>
  <c r="K348"/>
  <c r="J348"/>
  <c r="I348"/>
  <c r="H348"/>
  <c r="G348"/>
  <c r="K347"/>
  <c r="J347"/>
  <c r="I347"/>
  <c r="H347"/>
  <c r="G347"/>
  <c r="K346"/>
  <c r="J346"/>
  <c r="I346"/>
  <c r="H346"/>
  <c r="G346"/>
  <c r="K345"/>
  <c r="J345"/>
  <c r="I345"/>
  <c r="H345"/>
  <c r="G345"/>
  <c r="K344"/>
  <c r="J344"/>
  <c r="I344"/>
  <c r="H344"/>
  <c r="G344"/>
  <c r="K343"/>
  <c r="J343"/>
  <c r="I343"/>
  <c r="H343"/>
  <c r="G343"/>
  <c r="K342"/>
  <c r="J342"/>
  <c r="I342"/>
  <c r="H342"/>
  <c r="G342"/>
  <c r="K341"/>
  <c r="J341"/>
  <c r="I341"/>
  <c r="H341"/>
  <c r="G341"/>
  <c r="K340"/>
  <c r="J340"/>
  <c r="I340"/>
  <c r="H340"/>
  <c r="G340"/>
  <c r="K339"/>
  <c r="J339"/>
  <c r="I339"/>
  <c r="H339"/>
  <c r="G339"/>
  <c r="K338"/>
  <c r="J338"/>
  <c r="I338"/>
  <c r="H338"/>
  <c r="G338"/>
  <c r="K337"/>
  <c r="J337"/>
  <c r="I337"/>
  <c r="H337"/>
  <c r="G337"/>
  <c r="K336"/>
  <c r="J336"/>
  <c r="I336"/>
  <c r="H336"/>
  <c r="G336"/>
  <c r="K335"/>
  <c r="J335"/>
  <c r="I335"/>
  <c r="H335"/>
  <c r="G335"/>
  <c r="K334"/>
  <c r="J334"/>
  <c r="I334"/>
  <c r="H334"/>
  <c r="G334"/>
  <c r="K333"/>
  <c r="J333"/>
  <c r="I333"/>
  <c r="H333"/>
  <c r="G333"/>
  <c r="K332"/>
  <c r="J332"/>
  <c r="I332"/>
  <c r="H332"/>
  <c r="G332"/>
  <c r="K331"/>
  <c r="J331"/>
  <c r="I331"/>
  <c r="H331"/>
  <c r="G331"/>
  <c r="K330"/>
  <c r="J330"/>
  <c r="I330"/>
  <c r="H330"/>
  <c r="G330"/>
  <c r="K329"/>
  <c r="J329"/>
  <c r="I329"/>
  <c r="H329"/>
  <c r="G329"/>
  <c r="K328"/>
  <c r="J328"/>
  <c r="I328"/>
  <c r="H328"/>
  <c r="G328"/>
  <c r="K327"/>
  <c r="J327"/>
  <c r="I327"/>
  <c r="H327"/>
  <c r="G327"/>
  <c r="K326"/>
  <c r="J326"/>
  <c r="I326"/>
  <c r="H326"/>
  <c r="G326"/>
  <c r="K325"/>
  <c r="J325"/>
  <c r="I325"/>
  <c r="H325"/>
  <c r="G325"/>
  <c r="K324"/>
  <c r="J324"/>
  <c r="I324"/>
  <c r="H324"/>
  <c r="G324"/>
  <c r="K323"/>
  <c r="J323"/>
  <c r="I323"/>
  <c r="H323"/>
  <c r="G323"/>
  <c r="K322"/>
  <c r="J322"/>
  <c r="I322"/>
  <c r="H322"/>
  <c r="G322"/>
  <c r="K321"/>
  <c r="J321"/>
  <c r="I321"/>
  <c r="H321"/>
  <c r="G321"/>
  <c r="K320"/>
  <c r="J320"/>
  <c r="I320"/>
  <c r="H320"/>
  <c r="G320"/>
  <c r="K319"/>
  <c r="J319"/>
  <c r="I319"/>
  <c r="H319"/>
  <c r="G319"/>
  <c r="K318"/>
  <c r="J318"/>
  <c r="I318"/>
  <c r="H318"/>
  <c r="G318"/>
  <c r="K317"/>
  <c r="J317"/>
  <c r="I317"/>
  <c r="H317"/>
  <c r="G317"/>
  <c r="K316"/>
  <c r="J316"/>
  <c r="I316"/>
  <c r="H316"/>
  <c r="G316"/>
  <c r="K315"/>
  <c r="J315"/>
  <c r="I315"/>
  <c r="H315"/>
  <c r="G315"/>
  <c r="K314"/>
  <c r="J314"/>
  <c r="I314"/>
  <c r="H314"/>
  <c r="G314"/>
  <c r="K313"/>
  <c r="J313"/>
  <c r="I313"/>
  <c r="H313"/>
  <c r="G313"/>
  <c r="K312"/>
  <c r="J312"/>
  <c r="I312"/>
  <c r="H312"/>
  <c r="G312"/>
  <c r="K311"/>
  <c r="J311"/>
  <c r="I311"/>
  <c r="H311"/>
  <c r="G311"/>
  <c r="K310"/>
  <c r="J310"/>
  <c r="I310"/>
  <c r="H310"/>
  <c r="G310"/>
  <c r="K309"/>
  <c r="J309"/>
  <c r="I309"/>
  <c r="H309"/>
  <c r="G309"/>
  <c r="K308"/>
  <c r="J308"/>
  <c r="I308"/>
  <c r="H308"/>
  <c r="G308"/>
  <c r="K307"/>
  <c r="J307"/>
  <c r="I307"/>
  <c r="H307"/>
  <c r="G307"/>
  <c r="K306"/>
  <c r="J306"/>
  <c r="I306"/>
  <c r="H306"/>
  <c r="G306"/>
  <c r="K305"/>
  <c r="J305"/>
  <c r="I305"/>
  <c r="H305"/>
  <c r="G305"/>
  <c r="K304"/>
  <c r="J304"/>
  <c r="I304"/>
  <c r="H304"/>
  <c r="G304"/>
  <c r="K303"/>
  <c r="J303"/>
  <c r="I303"/>
  <c r="H303"/>
  <c r="G303"/>
  <c r="K302"/>
  <c r="J302"/>
  <c r="I302"/>
  <c r="H302"/>
  <c r="G302"/>
  <c r="K301"/>
  <c r="J301"/>
  <c r="I301"/>
  <c r="H301"/>
  <c r="G301"/>
  <c r="K300"/>
  <c r="J300"/>
  <c r="I300"/>
  <c r="H300"/>
  <c r="G300"/>
  <c r="K299"/>
  <c r="J299"/>
  <c r="I299"/>
  <c r="H299"/>
  <c r="G299"/>
  <c r="K298"/>
  <c r="J298"/>
  <c r="I298"/>
  <c r="H298"/>
  <c r="G298"/>
  <c r="K297"/>
  <c r="J297"/>
  <c r="I297"/>
  <c r="H297"/>
  <c r="G297"/>
  <c r="K296"/>
  <c r="J296"/>
  <c r="I296"/>
  <c r="H296"/>
  <c r="G296"/>
  <c r="K295"/>
  <c r="J295"/>
  <c r="I295"/>
  <c r="H295"/>
  <c r="G295"/>
  <c r="K294"/>
  <c r="J294"/>
  <c r="I294"/>
  <c r="H294"/>
  <c r="G294"/>
  <c r="K293"/>
  <c r="J293"/>
  <c r="I293"/>
  <c r="H293"/>
  <c r="G293"/>
  <c r="K292"/>
  <c r="J292"/>
  <c r="I292"/>
  <c r="H292"/>
  <c r="G292"/>
  <c r="K291"/>
  <c r="J291"/>
  <c r="I291"/>
  <c r="H291"/>
  <c r="G291"/>
  <c r="K290"/>
  <c r="J290"/>
  <c r="I290"/>
  <c r="H290"/>
  <c r="G290"/>
  <c r="K289"/>
  <c r="J289"/>
  <c r="I289"/>
  <c r="H289"/>
  <c r="G289"/>
  <c r="K288"/>
  <c r="J288"/>
  <c r="I288"/>
  <c r="H288"/>
  <c r="G288"/>
  <c r="K287"/>
  <c r="J287"/>
  <c r="I287"/>
  <c r="H287"/>
  <c r="G287"/>
  <c r="K286"/>
  <c r="J286"/>
  <c r="I286"/>
  <c r="H286"/>
  <c r="G286"/>
  <c r="K285"/>
  <c r="J285"/>
  <c r="I285"/>
  <c r="H285"/>
  <c r="G285"/>
  <c r="K284"/>
  <c r="J284"/>
  <c r="I284"/>
  <c r="H284"/>
  <c r="G284"/>
  <c r="K283"/>
  <c r="J283"/>
  <c r="I283"/>
  <c r="H283"/>
  <c r="G283"/>
  <c r="K282"/>
  <c r="J282"/>
  <c r="I282"/>
  <c r="H282"/>
  <c r="G282"/>
  <c r="K281"/>
  <c r="J281"/>
  <c r="I281"/>
  <c r="H281"/>
  <c r="G281"/>
  <c r="K280"/>
  <c r="J280"/>
  <c r="I280"/>
  <c r="H280"/>
  <c r="G280"/>
  <c r="K279"/>
  <c r="J279"/>
  <c r="I279"/>
  <c r="H279"/>
  <c r="G279"/>
  <c r="K278"/>
  <c r="J278"/>
  <c r="I278"/>
  <c r="H278"/>
  <c r="G278"/>
  <c r="K277"/>
  <c r="J277"/>
  <c r="I277"/>
  <c r="H277"/>
  <c r="G277"/>
  <c r="K276"/>
  <c r="J276"/>
  <c r="I276"/>
  <c r="H276"/>
  <c r="G276"/>
  <c r="K275"/>
  <c r="J275"/>
  <c r="I275"/>
  <c r="H275"/>
  <c r="G275"/>
  <c r="K274"/>
  <c r="J274"/>
  <c r="I274"/>
  <c r="H274"/>
  <c r="G274"/>
  <c r="K273"/>
  <c r="J273"/>
  <c r="I273"/>
  <c r="H273"/>
  <c r="G273"/>
  <c r="K272"/>
  <c r="J272"/>
  <c r="I272"/>
  <c r="H272"/>
  <c r="G272"/>
  <c r="K271"/>
  <c r="J271"/>
  <c r="I271"/>
  <c r="H271"/>
  <c r="G271"/>
  <c r="K270"/>
  <c r="J270"/>
  <c r="I270"/>
  <c r="H270"/>
  <c r="G270"/>
  <c r="K269"/>
  <c r="J269"/>
  <c r="I269"/>
  <c r="H269"/>
  <c r="G269"/>
  <c r="K268"/>
  <c r="J268"/>
  <c r="I268"/>
  <c r="H268"/>
  <c r="G268"/>
  <c r="K267"/>
  <c r="J267"/>
  <c r="I267"/>
  <c r="H267"/>
  <c r="G267"/>
  <c r="K266"/>
  <c r="J266"/>
  <c r="I266"/>
  <c r="H266"/>
  <c r="G266"/>
  <c r="K265"/>
  <c r="J265"/>
  <c r="I265"/>
  <c r="H265"/>
  <c r="G265"/>
  <c r="K264"/>
  <c r="J264"/>
  <c r="I264"/>
  <c r="H264"/>
  <c r="G264"/>
  <c r="K263"/>
  <c r="J263"/>
  <c r="I263"/>
  <c r="H263"/>
  <c r="G263"/>
  <c r="K262"/>
  <c r="J262"/>
  <c r="I262"/>
  <c r="H262"/>
  <c r="G262"/>
  <c r="K261"/>
  <c r="J261"/>
  <c r="I261"/>
  <c r="H261"/>
  <c r="G261"/>
  <c r="K260"/>
  <c r="J260"/>
  <c r="I260"/>
  <c r="H260"/>
  <c r="G260"/>
  <c r="K259"/>
  <c r="J259"/>
  <c r="I259"/>
  <c r="H259"/>
  <c r="G259"/>
  <c r="K258"/>
  <c r="J258"/>
  <c r="I258"/>
  <c r="H258"/>
  <c r="G258"/>
  <c r="K257"/>
  <c r="J257"/>
  <c r="I257"/>
  <c r="H257"/>
  <c r="G257"/>
  <c r="K256"/>
  <c r="J256"/>
  <c r="I256"/>
  <c r="H256"/>
  <c r="G256"/>
  <c r="K255"/>
  <c r="J255"/>
  <c r="I255"/>
  <c r="H255"/>
  <c r="G255"/>
  <c r="K254"/>
  <c r="J254"/>
  <c r="I254"/>
  <c r="H254"/>
  <c r="G254"/>
  <c r="K253"/>
  <c r="J253"/>
  <c r="I253"/>
  <c r="H253"/>
  <c r="G253"/>
  <c r="K252"/>
  <c r="J252"/>
  <c r="I252"/>
  <c r="H252"/>
  <c r="G252"/>
  <c r="K251"/>
  <c r="J251"/>
  <c r="I251"/>
  <c r="H251"/>
  <c r="G251"/>
  <c r="K250"/>
  <c r="J250"/>
  <c r="I250"/>
  <c r="H250"/>
  <c r="G250"/>
  <c r="K249"/>
  <c r="J249"/>
  <c r="I249"/>
  <c r="H249"/>
  <c r="G249"/>
  <c r="K248"/>
  <c r="J248"/>
  <c r="I248"/>
  <c r="H248"/>
  <c r="G248"/>
  <c r="K247"/>
  <c r="J247"/>
  <c r="I247"/>
  <c r="H247"/>
  <c r="G247"/>
  <c r="K246"/>
  <c r="J246"/>
  <c r="I246"/>
  <c r="H246"/>
  <c r="G246"/>
  <c r="K245"/>
  <c r="J245"/>
  <c r="I245"/>
  <c r="H245"/>
  <c r="G245"/>
  <c r="K244"/>
  <c r="J244"/>
  <c r="I244"/>
  <c r="H244"/>
  <c r="G244"/>
  <c r="K243"/>
  <c r="J243"/>
  <c r="I243"/>
  <c r="H243"/>
  <c r="G243"/>
  <c r="K242"/>
  <c r="J242"/>
  <c r="I242"/>
  <c r="H242"/>
  <c r="G242"/>
  <c r="K241"/>
  <c r="J241"/>
  <c r="I241"/>
  <c r="H241"/>
  <c r="G241"/>
  <c r="K240"/>
  <c r="J240"/>
  <c r="I240"/>
  <c r="H240"/>
  <c r="G240"/>
  <c r="K239"/>
  <c r="J239"/>
  <c r="I239"/>
  <c r="H239"/>
  <c r="G239"/>
  <c r="K238"/>
  <c r="J238"/>
  <c r="I238"/>
  <c r="H238"/>
  <c r="G238"/>
  <c r="K237"/>
  <c r="J237"/>
  <c r="I237"/>
  <c r="H237"/>
  <c r="G237"/>
  <c r="K236"/>
  <c r="J236"/>
  <c r="I236"/>
  <c r="H236"/>
  <c r="G236"/>
  <c r="K235"/>
  <c r="J235"/>
  <c r="I235"/>
  <c r="H235"/>
  <c r="G235"/>
  <c r="K234"/>
  <c r="J234"/>
  <c r="I234"/>
  <c r="H234"/>
  <c r="G234"/>
  <c r="K233"/>
  <c r="J233"/>
  <c r="I233"/>
  <c r="H233"/>
  <c r="G233"/>
  <c r="K232"/>
  <c r="J232"/>
  <c r="I232"/>
  <c r="H232"/>
  <c r="G232"/>
  <c r="K231"/>
  <c r="J231"/>
  <c r="I231"/>
  <c r="H231"/>
  <c r="G231"/>
  <c r="K230"/>
  <c r="J230"/>
  <c r="I230"/>
  <c r="H230"/>
  <c r="G230"/>
  <c r="K229"/>
  <c r="J229"/>
  <c r="I229"/>
  <c r="H229"/>
  <c r="G229"/>
  <c r="K228"/>
  <c r="J228"/>
  <c r="I228"/>
  <c r="H228"/>
  <c r="G228"/>
  <c r="K227"/>
  <c r="J227"/>
  <c r="I227"/>
  <c r="H227"/>
  <c r="G227"/>
  <c r="K226"/>
  <c r="J226"/>
  <c r="I226"/>
  <c r="H226"/>
  <c r="G226"/>
  <c r="K225"/>
  <c r="J225"/>
  <c r="I225"/>
  <c r="H225"/>
  <c r="G225"/>
  <c r="K224"/>
  <c r="J224"/>
  <c r="I224"/>
  <c r="H224"/>
  <c r="G224"/>
  <c r="K223"/>
  <c r="J223"/>
  <c r="I223"/>
  <c r="H223"/>
  <c r="G223"/>
  <c r="K222"/>
  <c r="J222"/>
  <c r="I222"/>
  <c r="H222"/>
  <c r="G222"/>
  <c r="K221"/>
  <c r="J221"/>
  <c r="I221"/>
  <c r="H221"/>
  <c r="G221"/>
  <c r="K220"/>
  <c r="J220"/>
  <c r="I220"/>
  <c r="H220"/>
  <c r="G220"/>
  <c r="K219"/>
  <c r="J219"/>
  <c r="I219"/>
  <c r="H219"/>
  <c r="G219"/>
  <c r="K218"/>
  <c r="J218"/>
  <c r="I218"/>
  <c r="H218"/>
  <c r="G218"/>
  <c r="K217"/>
  <c r="J217"/>
  <c r="I217"/>
  <c r="H217"/>
  <c r="G217"/>
  <c r="K216"/>
  <c r="J216"/>
  <c r="I216"/>
  <c r="H216"/>
  <c r="G216"/>
  <c r="K215"/>
  <c r="J215"/>
  <c r="I215"/>
  <c r="H215"/>
  <c r="G215"/>
  <c r="K214"/>
  <c r="J214"/>
  <c r="I214"/>
  <c r="H214"/>
  <c r="G214"/>
  <c r="K213"/>
  <c r="J213"/>
  <c r="I213"/>
  <c r="H213"/>
  <c r="G213"/>
  <c r="K212"/>
  <c r="J212"/>
  <c r="I212"/>
  <c r="H212"/>
  <c r="G212"/>
  <c r="K211"/>
  <c r="J211"/>
  <c r="I211"/>
  <c r="H211"/>
  <c r="G211"/>
  <c r="K210"/>
  <c r="J210"/>
  <c r="I210"/>
  <c r="H210"/>
  <c r="G210"/>
  <c r="K209"/>
  <c r="J209"/>
  <c r="I209"/>
  <c r="H209"/>
  <c r="G209"/>
  <c r="K208"/>
  <c r="J208"/>
  <c r="I208"/>
  <c r="H208"/>
  <c r="G208"/>
  <c r="K207"/>
  <c r="J207"/>
  <c r="I207"/>
  <c r="H207"/>
  <c r="G207"/>
  <c r="K206"/>
  <c r="J206"/>
  <c r="I206"/>
  <c r="H206"/>
  <c r="G206"/>
  <c r="K205"/>
  <c r="J205"/>
  <c r="I205"/>
  <c r="H205"/>
  <c r="G205"/>
  <c r="K204"/>
  <c r="J204"/>
  <c r="I204"/>
  <c r="H204"/>
  <c r="G204"/>
  <c r="K203"/>
  <c r="J203"/>
  <c r="I203"/>
  <c r="H203"/>
  <c r="G203"/>
  <c r="K202"/>
  <c r="J202"/>
  <c r="I202"/>
  <c r="H202"/>
  <c r="G202"/>
  <c r="K201"/>
  <c r="J201"/>
  <c r="I201"/>
  <c r="H201"/>
  <c r="G201"/>
  <c r="K200"/>
  <c r="J200"/>
  <c r="I200"/>
  <c r="H200"/>
  <c r="G200"/>
  <c r="K199"/>
  <c r="J199"/>
  <c r="I199"/>
  <c r="H199"/>
  <c r="G199"/>
  <c r="K198"/>
  <c r="J198"/>
  <c r="I198"/>
  <c r="H198"/>
  <c r="G198"/>
  <c r="K197"/>
  <c r="J197"/>
  <c r="I197"/>
  <c r="H197"/>
  <c r="G197"/>
  <c r="K196"/>
  <c r="J196"/>
  <c r="I196"/>
  <c r="H196"/>
  <c r="G196"/>
  <c r="K195"/>
  <c r="J195"/>
  <c r="I195"/>
  <c r="H195"/>
  <c r="G195"/>
  <c r="K194"/>
  <c r="J194"/>
  <c r="I194"/>
  <c r="H194"/>
  <c r="G194"/>
  <c r="K193"/>
  <c r="J193"/>
  <c r="I193"/>
  <c r="H193"/>
  <c r="G193"/>
  <c r="K192"/>
  <c r="J192"/>
  <c r="I192"/>
  <c r="H192"/>
  <c r="G192"/>
  <c r="K191"/>
  <c r="J191"/>
  <c r="I191"/>
  <c r="H191"/>
  <c r="G191"/>
  <c r="K190"/>
  <c r="J190"/>
  <c r="I190"/>
  <c r="H190"/>
  <c r="G190"/>
  <c r="K189"/>
  <c r="J189"/>
  <c r="I189"/>
  <c r="H189"/>
  <c r="G189"/>
  <c r="K188"/>
  <c r="J188"/>
  <c r="I188"/>
  <c r="H188"/>
  <c r="G188"/>
  <c r="K187"/>
  <c r="J187"/>
  <c r="I187"/>
  <c r="H187"/>
  <c r="G187"/>
  <c r="K186"/>
  <c r="J186"/>
  <c r="I186"/>
  <c r="H186"/>
  <c r="G186"/>
  <c r="K185"/>
  <c r="J185"/>
  <c r="I185"/>
  <c r="H185"/>
  <c r="G185"/>
  <c r="K184"/>
  <c r="J184"/>
  <c r="I184"/>
  <c r="H184"/>
  <c r="G184"/>
  <c r="K183"/>
  <c r="J183"/>
  <c r="I183"/>
  <c r="H183"/>
  <c r="G183"/>
  <c r="K182"/>
  <c r="J182"/>
  <c r="I182"/>
  <c r="H182"/>
  <c r="G182"/>
  <c r="K181"/>
  <c r="J181"/>
  <c r="I181"/>
  <c r="H181"/>
  <c r="G181"/>
  <c r="K180"/>
  <c r="J180"/>
  <c r="I180"/>
  <c r="H180"/>
  <c r="G180"/>
  <c r="K179"/>
  <c r="J179"/>
  <c r="I179"/>
  <c r="H179"/>
  <c r="G179"/>
  <c r="K178"/>
  <c r="J178"/>
  <c r="I178"/>
  <c r="H178"/>
  <c r="G178"/>
  <c r="K177"/>
  <c r="J177"/>
  <c r="I177"/>
  <c r="H177"/>
  <c r="G177"/>
  <c r="K176"/>
  <c r="J176"/>
  <c r="I176"/>
  <c r="H176"/>
  <c r="G176"/>
  <c r="K175"/>
  <c r="J175"/>
  <c r="I175"/>
  <c r="H175"/>
  <c r="G175"/>
  <c r="K174"/>
  <c r="J174"/>
  <c r="I174"/>
  <c r="H174"/>
  <c r="G174"/>
  <c r="K173"/>
  <c r="J173"/>
  <c r="I173"/>
  <c r="H173"/>
  <c r="G173"/>
  <c r="K172"/>
  <c r="J172"/>
  <c r="I172"/>
  <c r="H172"/>
  <c r="G172"/>
  <c r="K171"/>
  <c r="J171"/>
  <c r="I171"/>
  <c r="H171"/>
  <c r="G171"/>
  <c r="K170"/>
  <c r="J170"/>
  <c r="I170"/>
  <c r="H170"/>
  <c r="G170"/>
  <c r="K169"/>
  <c r="J169"/>
  <c r="I169"/>
  <c r="H169"/>
  <c r="G169"/>
  <c r="K168"/>
  <c r="J168"/>
  <c r="I168"/>
  <c r="H168"/>
  <c r="G168"/>
  <c r="K167"/>
  <c r="J167"/>
  <c r="I167"/>
  <c r="H167"/>
  <c r="G167"/>
  <c r="K166"/>
  <c r="J166"/>
  <c r="I166"/>
  <c r="H166"/>
  <c r="G166"/>
  <c r="K165"/>
  <c r="J165"/>
  <c r="I165"/>
  <c r="H165"/>
  <c r="G165"/>
  <c r="K164"/>
  <c r="J164"/>
  <c r="I164"/>
  <c r="H164"/>
  <c r="G164"/>
  <c r="K163"/>
  <c r="J163"/>
  <c r="I163"/>
  <c r="H163"/>
  <c r="G163"/>
  <c r="K162"/>
  <c r="J162"/>
  <c r="I162"/>
  <c r="H162"/>
  <c r="G162"/>
  <c r="M162" s="1"/>
  <c r="L162" s="1"/>
  <c r="K161"/>
  <c r="J161"/>
  <c r="I161"/>
  <c r="H161"/>
  <c r="G161"/>
  <c r="K160"/>
  <c r="J160"/>
  <c r="I160"/>
  <c r="H160"/>
  <c r="G160"/>
  <c r="M160" s="1"/>
  <c r="L160" s="1"/>
  <c r="K159"/>
  <c r="J159"/>
  <c r="I159"/>
  <c r="H159"/>
  <c r="G159"/>
  <c r="K158"/>
  <c r="J158"/>
  <c r="I158"/>
  <c r="H158"/>
  <c r="G158"/>
  <c r="M158" s="1"/>
  <c r="L158" s="1"/>
  <c r="K157"/>
  <c r="J157"/>
  <c r="I157"/>
  <c r="H157"/>
  <c r="G157"/>
  <c r="K156"/>
  <c r="J156"/>
  <c r="I156"/>
  <c r="H156"/>
  <c r="G156"/>
  <c r="M156" s="1"/>
  <c r="L156" s="1"/>
  <c r="K155"/>
  <c r="J155"/>
  <c r="I155"/>
  <c r="H155"/>
  <c r="G155"/>
  <c r="K154"/>
  <c r="J154"/>
  <c r="I154"/>
  <c r="H154"/>
  <c r="G154"/>
  <c r="M154" s="1"/>
  <c r="L154" s="1"/>
  <c r="K153"/>
  <c r="J153"/>
  <c r="I153"/>
  <c r="H153"/>
  <c r="G153"/>
  <c r="K152"/>
  <c r="J152"/>
  <c r="I152"/>
  <c r="H152"/>
  <c r="G152"/>
  <c r="M152" s="1"/>
  <c r="L152" s="1"/>
  <c r="K151"/>
  <c r="J151"/>
  <c r="I151"/>
  <c r="H151"/>
  <c r="G151"/>
  <c r="K150"/>
  <c r="J150"/>
  <c r="I150"/>
  <c r="H150"/>
  <c r="G150"/>
  <c r="M150" s="1"/>
  <c r="L150" s="1"/>
  <c r="K149"/>
  <c r="J149"/>
  <c r="I149"/>
  <c r="H149"/>
  <c r="G149"/>
  <c r="K148"/>
  <c r="J148"/>
  <c r="I148"/>
  <c r="H148"/>
  <c r="G148"/>
  <c r="M148" s="1"/>
  <c r="L148" s="1"/>
  <c r="K147"/>
  <c r="J147"/>
  <c r="I147"/>
  <c r="H147"/>
  <c r="G147"/>
  <c r="K146"/>
  <c r="J146"/>
  <c r="I146"/>
  <c r="H146"/>
  <c r="G146"/>
  <c r="M146" s="1"/>
  <c r="L146" s="1"/>
  <c r="K145"/>
  <c r="J145"/>
  <c r="I145"/>
  <c r="H145"/>
  <c r="G145"/>
  <c r="K144"/>
  <c r="J144"/>
  <c r="I144"/>
  <c r="H144"/>
  <c r="G144"/>
  <c r="M144" s="1"/>
  <c r="L144" s="1"/>
  <c r="K143"/>
  <c r="J143"/>
  <c r="I143"/>
  <c r="H143"/>
  <c r="G143"/>
  <c r="K142"/>
  <c r="J142"/>
  <c r="I142"/>
  <c r="H142"/>
  <c r="G142"/>
  <c r="M142" s="1"/>
  <c r="L142" s="1"/>
  <c r="K141"/>
  <c r="J141"/>
  <c r="I141"/>
  <c r="H141"/>
  <c r="G141"/>
  <c r="K140"/>
  <c r="J140"/>
  <c r="I140"/>
  <c r="H140"/>
  <c r="G140"/>
  <c r="M140" s="1"/>
  <c r="L140" s="1"/>
  <c r="K139"/>
  <c r="J139"/>
  <c r="I139"/>
  <c r="H139"/>
  <c r="G139"/>
  <c r="K138"/>
  <c r="J138"/>
  <c r="I138"/>
  <c r="H138"/>
  <c r="G138"/>
  <c r="M138" s="1"/>
  <c r="L138" s="1"/>
  <c r="K137"/>
  <c r="J137"/>
  <c r="I137"/>
  <c r="H137"/>
  <c r="G137"/>
  <c r="K136"/>
  <c r="J136"/>
  <c r="I136"/>
  <c r="H136"/>
  <c r="G136"/>
  <c r="M136" s="1"/>
  <c r="L136" s="1"/>
  <c r="K135"/>
  <c r="J135"/>
  <c r="I135"/>
  <c r="H135"/>
  <c r="G135"/>
  <c r="K134"/>
  <c r="J134"/>
  <c r="I134"/>
  <c r="H134"/>
  <c r="G134"/>
  <c r="M134" s="1"/>
  <c r="L134" s="1"/>
  <c r="K133"/>
  <c r="J133"/>
  <c r="I133"/>
  <c r="H133"/>
  <c r="G133"/>
  <c r="K132"/>
  <c r="J132"/>
  <c r="I132"/>
  <c r="H132"/>
  <c r="G132"/>
  <c r="M132" s="1"/>
  <c r="L132" s="1"/>
  <c r="K131"/>
  <c r="J131"/>
  <c r="I131"/>
  <c r="H131"/>
  <c r="G131"/>
  <c r="K130"/>
  <c r="J130"/>
  <c r="I130"/>
  <c r="H130"/>
  <c r="G130"/>
  <c r="M130" s="1"/>
  <c r="L130" s="1"/>
  <c r="K129"/>
  <c r="J129"/>
  <c r="I129"/>
  <c r="H129"/>
  <c r="G129"/>
  <c r="K128"/>
  <c r="J128"/>
  <c r="I128"/>
  <c r="H128"/>
  <c r="G128"/>
  <c r="M128" s="1"/>
  <c r="L128" s="1"/>
  <c r="K127"/>
  <c r="J127"/>
  <c r="I127"/>
  <c r="H127"/>
  <c r="G127"/>
  <c r="K126"/>
  <c r="J126"/>
  <c r="I126"/>
  <c r="H126"/>
  <c r="G126"/>
  <c r="M126" s="1"/>
  <c r="L126" s="1"/>
  <c r="K125"/>
  <c r="J125"/>
  <c r="I125"/>
  <c r="H125"/>
  <c r="G125"/>
  <c r="K124"/>
  <c r="J124"/>
  <c r="I124"/>
  <c r="H124"/>
  <c r="G124"/>
  <c r="M124" s="1"/>
  <c r="L124" s="1"/>
  <c r="K123"/>
  <c r="J123"/>
  <c r="I123"/>
  <c r="H123"/>
  <c r="G123"/>
  <c r="K122"/>
  <c r="J122"/>
  <c r="I122"/>
  <c r="H122"/>
  <c r="G122"/>
  <c r="M122" s="1"/>
  <c r="L122" s="1"/>
  <c r="K121"/>
  <c r="J121"/>
  <c r="I121"/>
  <c r="H121"/>
  <c r="G121"/>
  <c r="K120"/>
  <c r="J120"/>
  <c r="I120"/>
  <c r="H120"/>
  <c r="G120"/>
  <c r="M120" s="1"/>
  <c r="L120" s="1"/>
  <c r="K119"/>
  <c r="J119"/>
  <c r="I119"/>
  <c r="H119"/>
  <c r="G119"/>
  <c r="K118"/>
  <c r="J118"/>
  <c r="I118"/>
  <c r="H118"/>
  <c r="G118"/>
  <c r="M118" s="1"/>
  <c r="L118" s="1"/>
  <c r="K117"/>
  <c r="J117"/>
  <c r="I117"/>
  <c r="H117"/>
  <c r="G117"/>
  <c r="K116"/>
  <c r="J116"/>
  <c r="I116"/>
  <c r="H116"/>
  <c r="G116"/>
  <c r="K115"/>
  <c r="J115"/>
  <c r="I115"/>
  <c r="H115"/>
  <c r="G115"/>
  <c r="K114"/>
  <c r="J114"/>
  <c r="I114"/>
  <c r="H114"/>
  <c r="G114"/>
  <c r="K113"/>
  <c r="J113"/>
  <c r="I113"/>
  <c r="H113"/>
  <c r="G113"/>
  <c r="K112"/>
  <c r="J112"/>
  <c r="I112"/>
  <c r="H112"/>
  <c r="G112"/>
  <c r="M112" s="1"/>
  <c r="L112" s="1"/>
  <c r="K111"/>
  <c r="J111"/>
  <c r="I111"/>
  <c r="H111"/>
  <c r="G111"/>
  <c r="K110"/>
  <c r="J110"/>
  <c r="I110"/>
  <c r="H110"/>
  <c r="G110"/>
  <c r="M110" s="1"/>
  <c r="L110" s="1"/>
  <c r="K109"/>
  <c r="J109"/>
  <c r="I109"/>
  <c r="H109"/>
  <c r="G109"/>
  <c r="K108"/>
  <c r="J108"/>
  <c r="I108"/>
  <c r="H108"/>
  <c r="G108"/>
  <c r="M108" s="1"/>
  <c r="L108" s="1"/>
  <c r="K107"/>
  <c r="J107"/>
  <c r="I107"/>
  <c r="H107"/>
  <c r="G107"/>
  <c r="K106"/>
  <c r="J106"/>
  <c r="I106"/>
  <c r="H106"/>
  <c r="G106"/>
  <c r="M106" s="1"/>
  <c r="L106" s="1"/>
  <c r="K105"/>
  <c r="J105"/>
  <c r="I105"/>
  <c r="H105"/>
  <c r="G105"/>
  <c r="K104"/>
  <c r="J104"/>
  <c r="I104"/>
  <c r="H104"/>
  <c r="G104"/>
  <c r="M104" s="1"/>
  <c r="L104" s="1"/>
  <c r="K103"/>
  <c r="J103"/>
  <c r="I103"/>
  <c r="H103"/>
  <c r="G103"/>
  <c r="K102"/>
  <c r="J102"/>
  <c r="I102"/>
  <c r="H102"/>
  <c r="G102"/>
  <c r="M102" s="1"/>
  <c r="L102" s="1"/>
  <c r="K101"/>
  <c r="J101"/>
  <c r="I101"/>
  <c r="H101"/>
  <c r="G101"/>
  <c r="K100"/>
  <c r="J100"/>
  <c r="I100"/>
  <c r="H100"/>
  <c r="G100"/>
  <c r="K99"/>
  <c r="J99"/>
  <c r="I99"/>
  <c r="H99"/>
  <c r="G99"/>
  <c r="K98"/>
  <c r="J98"/>
  <c r="I98"/>
  <c r="H98"/>
  <c r="G98"/>
  <c r="M98" s="1"/>
  <c r="L98" s="1"/>
  <c r="K97"/>
  <c r="J97"/>
  <c r="I97"/>
  <c r="H97"/>
  <c r="G97"/>
  <c r="K96"/>
  <c r="J96"/>
  <c r="I96"/>
  <c r="H96"/>
  <c r="G96"/>
  <c r="M96" s="1"/>
  <c r="L96" s="1"/>
  <c r="K95"/>
  <c r="J95"/>
  <c r="I95"/>
  <c r="H95"/>
  <c r="G95"/>
  <c r="K94"/>
  <c r="J94"/>
  <c r="I94"/>
  <c r="H94"/>
  <c r="G94"/>
  <c r="M94" s="1"/>
  <c r="L94" s="1"/>
  <c r="K93"/>
  <c r="J93"/>
  <c r="I93"/>
  <c r="H93"/>
  <c r="G93"/>
  <c r="K92"/>
  <c r="J92"/>
  <c r="I92"/>
  <c r="H92"/>
  <c r="G92"/>
  <c r="M92" s="1"/>
  <c r="L92" s="1"/>
  <c r="K91"/>
  <c r="J91"/>
  <c r="I91"/>
  <c r="H91"/>
  <c r="G91"/>
  <c r="K90"/>
  <c r="J90"/>
  <c r="I90"/>
  <c r="H90"/>
  <c r="G90"/>
  <c r="M90" s="1"/>
  <c r="L90" s="1"/>
  <c r="K89"/>
  <c r="J89"/>
  <c r="I89"/>
  <c r="H89"/>
  <c r="G89"/>
  <c r="K88"/>
  <c r="J88"/>
  <c r="I88"/>
  <c r="H88"/>
  <c r="G88"/>
  <c r="M88" s="1"/>
  <c r="L88" s="1"/>
  <c r="K87"/>
  <c r="J87"/>
  <c r="I87"/>
  <c r="H87"/>
  <c r="G87"/>
  <c r="K86"/>
  <c r="J86"/>
  <c r="I86"/>
  <c r="H86"/>
  <c r="G86"/>
  <c r="M86" s="1"/>
  <c r="L86" s="1"/>
  <c r="K85"/>
  <c r="J85"/>
  <c r="I85"/>
  <c r="H85"/>
  <c r="G85"/>
  <c r="K84"/>
  <c r="J84"/>
  <c r="I84"/>
  <c r="H84"/>
  <c r="G84"/>
  <c r="M84" s="1"/>
  <c r="L84" s="1"/>
  <c r="K83"/>
  <c r="J83"/>
  <c r="I83"/>
  <c r="H83"/>
  <c r="G83"/>
  <c r="K82"/>
  <c r="J82"/>
  <c r="I82"/>
  <c r="H82"/>
  <c r="G82"/>
  <c r="M82" s="1"/>
  <c r="L82" s="1"/>
  <c r="K81"/>
  <c r="J81"/>
  <c r="I81"/>
  <c r="H81"/>
  <c r="G81"/>
  <c r="K80"/>
  <c r="J80"/>
  <c r="I80"/>
  <c r="H80"/>
  <c r="G80"/>
  <c r="M80" s="1"/>
  <c r="L80" s="1"/>
  <c r="K79"/>
  <c r="J79"/>
  <c r="I79"/>
  <c r="H79"/>
  <c r="G79"/>
  <c r="K78"/>
  <c r="J78"/>
  <c r="I78"/>
  <c r="H78"/>
  <c r="G78"/>
  <c r="K77"/>
  <c r="J77"/>
  <c r="I77"/>
  <c r="H77"/>
  <c r="G77"/>
  <c r="K76"/>
  <c r="J76"/>
  <c r="I76"/>
  <c r="H76"/>
  <c r="G76"/>
  <c r="M76" s="1"/>
  <c r="L76" s="1"/>
  <c r="K75"/>
  <c r="J75"/>
  <c r="I75"/>
  <c r="H75"/>
  <c r="G75"/>
  <c r="K74"/>
  <c r="J74"/>
  <c r="I74"/>
  <c r="H74"/>
  <c r="G74"/>
  <c r="M74" s="1"/>
  <c r="L74" s="1"/>
  <c r="K73"/>
  <c r="J73"/>
  <c r="I73"/>
  <c r="H73"/>
  <c r="G73"/>
  <c r="K72"/>
  <c r="J72"/>
  <c r="I72"/>
  <c r="H72"/>
  <c r="G72"/>
  <c r="M72" s="1"/>
  <c r="L72" s="1"/>
  <c r="K71"/>
  <c r="J71"/>
  <c r="I71"/>
  <c r="H71"/>
  <c r="G71"/>
  <c r="K70"/>
  <c r="J70"/>
  <c r="I70"/>
  <c r="H70"/>
  <c r="G70"/>
  <c r="M70" s="1"/>
  <c r="L70" s="1"/>
  <c r="K69"/>
  <c r="J69"/>
  <c r="I69"/>
  <c r="H69"/>
  <c r="G69"/>
  <c r="K68"/>
  <c r="J68"/>
  <c r="I68"/>
  <c r="H68"/>
  <c r="G68"/>
  <c r="M68" s="1"/>
  <c r="L68" s="1"/>
  <c r="K67"/>
  <c r="J67"/>
  <c r="I67"/>
  <c r="H67"/>
  <c r="G67"/>
  <c r="K66"/>
  <c r="J66"/>
  <c r="I66"/>
  <c r="H66"/>
  <c r="G66"/>
  <c r="M66" s="1"/>
  <c r="L66" s="1"/>
  <c r="K65"/>
  <c r="J65"/>
  <c r="I65"/>
  <c r="H65"/>
  <c r="G65"/>
  <c r="K64"/>
  <c r="J64"/>
  <c r="I64"/>
  <c r="H64"/>
  <c r="G64"/>
  <c r="M64" s="1"/>
  <c r="L64" s="1"/>
  <c r="K63"/>
  <c r="J63"/>
  <c r="I63"/>
  <c r="H63"/>
  <c r="G63"/>
  <c r="K62"/>
  <c r="J62"/>
  <c r="I62"/>
  <c r="H62"/>
  <c r="G62"/>
  <c r="K61"/>
  <c r="J61"/>
  <c r="I61"/>
  <c r="H61"/>
  <c r="G61"/>
  <c r="K60"/>
  <c r="J60"/>
  <c r="I60"/>
  <c r="H60"/>
  <c r="G60"/>
  <c r="K59"/>
  <c r="J59"/>
  <c r="I59"/>
  <c r="H59"/>
  <c r="G59"/>
  <c r="K58"/>
  <c r="J58"/>
  <c r="I58"/>
  <c r="H58"/>
  <c r="G58"/>
  <c r="K57"/>
  <c r="J57"/>
  <c r="I57"/>
  <c r="H57"/>
  <c r="G57"/>
  <c r="K56"/>
  <c r="J56"/>
  <c r="I56"/>
  <c r="H56"/>
  <c r="G56"/>
  <c r="K55"/>
  <c r="J55"/>
  <c r="I55"/>
  <c r="H55"/>
  <c r="G55"/>
  <c r="K54"/>
  <c r="J54"/>
  <c r="I54"/>
  <c r="H54"/>
  <c r="G54"/>
  <c r="K53"/>
  <c r="J53"/>
  <c r="I53"/>
  <c r="H53"/>
  <c r="G53"/>
  <c r="K52"/>
  <c r="J52"/>
  <c r="I52"/>
  <c r="H52"/>
  <c r="G52"/>
  <c r="K51"/>
  <c r="J51"/>
  <c r="I51"/>
  <c r="H51"/>
  <c r="G51"/>
  <c r="K50"/>
  <c r="J50"/>
  <c r="I50"/>
  <c r="H50"/>
  <c r="G50"/>
  <c r="K49"/>
  <c r="J49"/>
  <c r="I49"/>
  <c r="H49"/>
  <c r="G49"/>
  <c r="K48"/>
  <c r="J48"/>
  <c r="I48"/>
  <c r="H48"/>
  <c r="G48"/>
  <c r="K47"/>
  <c r="J47"/>
  <c r="I47"/>
  <c r="H47"/>
  <c r="G47"/>
  <c r="K46"/>
  <c r="J46"/>
  <c r="I46"/>
  <c r="H46"/>
  <c r="G46"/>
  <c r="K45"/>
  <c r="J45"/>
  <c r="I45"/>
  <c r="H45"/>
  <c r="G45"/>
  <c r="K44"/>
  <c r="J44"/>
  <c r="I44"/>
  <c r="H44"/>
  <c r="G44"/>
  <c r="M44" s="1"/>
  <c r="L44" s="1"/>
  <c r="K43"/>
  <c r="J43"/>
  <c r="I43"/>
  <c r="H43"/>
  <c r="G43"/>
  <c r="K42"/>
  <c r="J42"/>
  <c r="I42"/>
  <c r="H42"/>
  <c r="G42"/>
  <c r="M42" s="1"/>
  <c r="L42" s="1"/>
  <c r="K41"/>
  <c r="J41"/>
  <c r="I41"/>
  <c r="H41"/>
  <c r="G41"/>
  <c r="K40"/>
  <c r="J40"/>
  <c r="I40"/>
  <c r="H40"/>
  <c r="G40"/>
  <c r="M40" s="1"/>
  <c r="L40" s="1"/>
  <c r="K39"/>
  <c r="J39"/>
  <c r="I39"/>
  <c r="H39"/>
  <c r="G39"/>
  <c r="K38"/>
  <c r="J38"/>
  <c r="I38"/>
  <c r="H38"/>
  <c r="G38"/>
  <c r="M38" s="1"/>
  <c r="L38" s="1"/>
  <c r="K37"/>
  <c r="J37"/>
  <c r="I37"/>
  <c r="H37"/>
  <c r="G37"/>
  <c r="K36"/>
  <c r="J36"/>
  <c r="I36"/>
  <c r="H36"/>
  <c r="G36"/>
  <c r="M36" s="1"/>
  <c r="L36" s="1"/>
  <c r="K35"/>
  <c r="J35"/>
  <c r="I35"/>
  <c r="H35"/>
  <c r="G35"/>
  <c r="K34"/>
  <c r="J34"/>
  <c r="I34"/>
  <c r="H34"/>
  <c r="G34"/>
  <c r="M34" s="1"/>
  <c r="L34" s="1"/>
  <c r="K33"/>
  <c r="J33"/>
  <c r="I33"/>
  <c r="H33"/>
  <c r="G33"/>
  <c r="K32"/>
  <c r="J32"/>
  <c r="I32"/>
  <c r="H32"/>
  <c r="G32"/>
  <c r="M32" s="1"/>
  <c r="L32" s="1"/>
  <c r="K31"/>
  <c r="J31"/>
  <c r="I31"/>
  <c r="H31"/>
  <c r="G31"/>
  <c r="K30"/>
  <c r="J30"/>
  <c r="I30"/>
  <c r="H30"/>
  <c r="G30"/>
  <c r="M30" s="1"/>
  <c r="L30" s="1"/>
  <c r="K29"/>
  <c r="J29"/>
  <c r="I29"/>
  <c r="H29"/>
  <c r="G29"/>
  <c r="K28"/>
  <c r="J28"/>
  <c r="I28"/>
  <c r="H28"/>
  <c r="G28"/>
  <c r="M28" s="1"/>
  <c r="L28" s="1"/>
  <c r="K27"/>
  <c r="J27"/>
  <c r="I27"/>
  <c r="H27"/>
  <c r="G27"/>
  <c r="K26"/>
  <c r="J26"/>
  <c r="I26"/>
  <c r="H26"/>
  <c r="G26"/>
  <c r="M26" s="1"/>
  <c r="L26" s="1"/>
  <c r="K25"/>
  <c r="J25"/>
  <c r="I25"/>
  <c r="H25"/>
  <c r="G25"/>
  <c r="K24"/>
  <c r="J24"/>
  <c r="I24"/>
  <c r="H24"/>
  <c r="G24"/>
  <c r="M24" s="1"/>
  <c r="L24" s="1"/>
  <c r="K23"/>
  <c r="J23"/>
  <c r="I23"/>
  <c r="H23"/>
  <c r="G23"/>
  <c r="K22"/>
  <c r="J22"/>
  <c r="I22"/>
  <c r="H22"/>
  <c r="G22"/>
  <c r="K21"/>
  <c r="J21"/>
  <c r="I21"/>
  <c r="H21"/>
  <c r="G21"/>
  <c r="K20"/>
  <c r="J20"/>
  <c r="I20"/>
  <c r="H20"/>
  <c r="G20"/>
  <c r="K19"/>
  <c r="J19"/>
  <c r="I19"/>
  <c r="H19"/>
  <c r="G19"/>
  <c r="K18"/>
  <c r="J18"/>
  <c r="I18"/>
  <c r="H18"/>
  <c r="G18"/>
  <c r="K17"/>
  <c r="J17"/>
  <c r="I17"/>
  <c r="H17"/>
  <c r="G17"/>
  <c r="K16"/>
  <c r="J16"/>
  <c r="I16"/>
  <c r="H16"/>
  <c r="G16"/>
  <c r="M16" s="1"/>
  <c r="L16" s="1"/>
  <c r="K15"/>
  <c r="J15"/>
  <c r="I15"/>
  <c r="H15"/>
  <c r="G15"/>
  <c r="K14"/>
  <c r="J14"/>
  <c r="I14"/>
  <c r="H14"/>
  <c r="G14"/>
  <c r="M14" s="1"/>
  <c r="L14" s="1"/>
  <c r="K13"/>
  <c r="J13"/>
  <c r="I13"/>
  <c r="H13"/>
  <c r="G13"/>
  <c r="K12"/>
  <c r="J12"/>
  <c r="I12"/>
  <c r="H12"/>
  <c r="G12"/>
  <c r="M12" s="1"/>
  <c r="L12" s="1"/>
  <c r="K11"/>
  <c r="J11"/>
  <c r="I11"/>
  <c r="H11"/>
  <c r="G11"/>
  <c r="K10"/>
  <c r="J10"/>
  <c r="I10"/>
  <c r="H10"/>
  <c r="G10"/>
  <c r="K9"/>
  <c r="J9"/>
  <c r="I9"/>
  <c r="H9"/>
  <c r="G9"/>
  <c r="K8"/>
  <c r="J8"/>
  <c r="I8"/>
  <c r="H8"/>
  <c r="G8"/>
  <c r="M8" s="1"/>
  <c r="L8" s="1"/>
  <c r="K7"/>
  <c r="J7"/>
  <c r="I7"/>
  <c r="H7"/>
  <c r="G7"/>
  <c r="K6"/>
  <c r="J6"/>
  <c r="I6"/>
  <c r="H6"/>
  <c r="G6"/>
  <c r="M6" s="1"/>
  <c r="L6" s="1"/>
  <c r="K5"/>
  <c r="J5"/>
  <c r="I5"/>
  <c r="H5"/>
  <c r="G5"/>
  <c r="K4"/>
  <c r="K470" s="1"/>
  <c r="J4"/>
  <c r="I4"/>
  <c r="I470" s="1"/>
  <c r="H4"/>
  <c r="G4"/>
  <c r="G470" s="1"/>
  <c r="H470" l="1"/>
  <c r="J470"/>
  <c r="M15"/>
  <c r="L15" s="1"/>
  <c r="M17"/>
  <c r="L17" s="1"/>
  <c r="M19"/>
  <c r="L19" s="1"/>
  <c r="M21"/>
  <c r="L21" s="1"/>
  <c r="M23"/>
  <c r="L23" s="1"/>
  <c r="M27"/>
  <c r="L27" s="1"/>
  <c r="M29"/>
  <c r="L29" s="1"/>
  <c r="M31"/>
  <c r="L31" s="1"/>
  <c r="M35"/>
  <c r="L35" s="1"/>
  <c r="M37"/>
  <c r="L37" s="1"/>
  <c r="M41"/>
  <c r="L41" s="1"/>
  <c r="M45"/>
  <c r="L45" s="1"/>
  <c r="M47"/>
  <c r="L47" s="1"/>
  <c r="M49"/>
  <c r="L49" s="1"/>
  <c r="M51"/>
  <c r="L51" s="1"/>
  <c r="M53"/>
  <c r="L53" s="1"/>
  <c r="M55"/>
  <c r="L55" s="1"/>
  <c r="M10"/>
  <c r="L10" s="1"/>
  <c r="M57"/>
  <c r="L57" s="1"/>
  <c r="M59"/>
  <c r="L59" s="1"/>
  <c r="M61"/>
  <c r="L61" s="1"/>
  <c r="M63"/>
  <c r="L63" s="1"/>
  <c r="M65"/>
  <c r="L65" s="1"/>
  <c r="M77"/>
  <c r="L77" s="1"/>
  <c r="M79"/>
  <c r="L79" s="1"/>
  <c r="M89"/>
  <c r="L89" s="1"/>
  <c r="M99"/>
  <c r="L99" s="1"/>
  <c r="M101"/>
  <c r="L101" s="1"/>
  <c r="M103"/>
  <c r="L103" s="1"/>
  <c r="M105"/>
  <c r="L105" s="1"/>
  <c r="M107"/>
  <c r="L107" s="1"/>
  <c r="M109"/>
  <c r="L109" s="1"/>
  <c r="M111"/>
  <c r="L111" s="1"/>
  <c r="M113"/>
  <c r="L113" s="1"/>
  <c r="M115"/>
  <c r="L115" s="1"/>
  <c r="M117"/>
  <c r="L117" s="1"/>
  <c r="M119"/>
  <c r="L119" s="1"/>
  <c r="M125"/>
  <c r="L125" s="1"/>
  <c r="M147"/>
  <c r="L147" s="1"/>
  <c r="M149"/>
  <c r="L149" s="1"/>
  <c r="M151"/>
  <c r="L151" s="1"/>
  <c r="M386"/>
  <c r="L386" s="1"/>
  <c r="M388"/>
  <c r="L388" s="1"/>
  <c r="M390"/>
  <c r="L390" s="1"/>
  <c r="M392"/>
  <c r="L392" s="1"/>
  <c r="M394"/>
  <c r="L394" s="1"/>
  <c r="M396"/>
  <c r="L396" s="1"/>
  <c r="M398"/>
  <c r="L398" s="1"/>
  <c r="M400"/>
  <c r="L400" s="1"/>
  <c r="M402"/>
  <c r="L402" s="1"/>
  <c r="M404"/>
  <c r="L404" s="1"/>
  <c r="M406"/>
  <c r="L406" s="1"/>
  <c r="M408"/>
  <c r="L408" s="1"/>
  <c r="M410"/>
  <c r="L410" s="1"/>
  <c r="M412"/>
  <c r="L412" s="1"/>
  <c r="M414"/>
  <c r="L414" s="1"/>
  <c r="M416"/>
  <c r="L416" s="1"/>
  <c r="M418"/>
  <c r="L418" s="1"/>
  <c r="M420"/>
  <c r="L420" s="1"/>
  <c r="M466"/>
  <c r="L466" s="1"/>
  <c r="M5"/>
  <c r="L5" s="1"/>
  <c r="M7"/>
  <c r="L7" s="1"/>
  <c r="M9"/>
  <c r="L9" s="1"/>
  <c r="M11"/>
  <c r="L11" s="1"/>
  <c r="M13"/>
  <c r="L13" s="1"/>
  <c r="M25"/>
  <c r="L25" s="1"/>
  <c r="M33"/>
  <c r="L33" s="1"/>
  <c r="M39"/>
  <c r="L39" s="1"/>
  <c r="M43"/>
  <c r="L43" s="1"/>
  <c r="M67"/>
  <c r="L67" s="1"/>
  <c r="M69"/>
  <c r="L69" s="1"/>
  <c r="M71"/>
  <c r="L71" s="1"/>
  <c r="M73"/>
  <c r="L73" s="1"/>
  <c r="M75"/>
  <c r="L75" s="1"/>
  <c r="M81"/>
  <c r="L81" s="1"/>
  <c r="M83"/>
  <c r="L83" s="1"/>
  <c r="M85"/>
  <c r="L85" s="1"/>
  <c r="M87"/>
  <c r="L87" s="1"/>
  <c r="M91"/>
  <c r="L91" s="1"/>
  <c r="M93"/>
  <c r="L93" s="1"/>
  <c r="M95"/>
  <c r="L95" s="1"/>
  <c r="M97"/>
  <c r="L97" s="1"/>
  <c r="M121"/>
  <c r="L121" s="1"/>
  <c r="M123"/>
  <c r="L123" s="1"/>
  <c r="M127"/>
  <c r="L127" s="1"/>
  <c r="M129"/>
  <c r="L129" s="1"/>
  <c r="M131"/>
  <c r="L131" s="1"/>
  <c r="M133"/>
  <c r="L133" s="1"/>
  <c r="M135"/>
  <c r="L135" s="1"/>
  <c r="M137"/>
  <c r="L137" s="1"/>
  <c r="M139"/>
  <c r="L139" s="1"/>
  <c r="M141"/>
  <c r="L141" s="1"/>
  <c r="M143"/>
  <c r="L143" s="1"/>
  <c r="M145"/>
  <c r="L145" s="1"/>
  <c r="M153"/>
  <c r="L153" s="1"/>
  <c r="M155"/>
  <c r="L155" s="1"/>
  <c r="M157"/>
  <c r="L157" s="1"/>
  <c r="M159"/>
  <c r="L159" s="1"/>
  <c r="M161"/>
  <c r="L161" s="1"/>
  <c r="M393"/>
  <c r="L393" s="1"/>
  <c r="M395"/>
  <c r="L395" s="1"/>
  <c r="M401"/>
  <c r="L401" s="1"/>
  <c r="M403"/>
  <c r="L403" s="1"/>
  <c r="M411"/>
  <c r="L411" s="1"/>
  <c r="M413"/>
  <c r="L413" s="1"/>
  <c r="M415"/>
  <c r="L415" s="1"/>
  <c r="M419"/>
  <c r="L419" s="1"/>
  <c r="M469"/>
  <c r="L469" s="1"/>
  <c r="M18"/>
  <c r="L18" s="1"/>
  <c r="M20"/>
  <c r="L20" s="1"/>
  <c r="M22"/>
  <c r="L22" s="1"/>
  <c r="M46"/>
  <c r="L46" s="1"/>
  <c r="M48"/>
  <c r="L48" s="1"/>
  <c r="M50"/>
  <c r="L50" s="1"/>
  <c r="M52"/>
  <c r="L52" s="1"/>
  <c r="M54"/>
  <c r="L54" s="1"/>
  <c r="M56"/>
  <c r="L56" s="1"/>
  <c r="M58"/>
  <c r="L58" s="1"/>
  <c r="M60"/>
  <c r="L60" s="1"/>
  <c r="M62"/>
  <c r="L62" s="1"/>
  <c r="M78"/>
  <c r="L78" s="1"/>
  <c r="M100"/>
  <c r="L100" s="1"/>
  <c r="M114"/>
  <c r="L114" s="1"/>
  <c r="M116"/>
  <c r="L116" s="1"/>
  <c r="M422"/>
  <c r="L422" s="1"/>
  <c r="M424"/>
  <c r="L424" s="1"/>
  <c r="M426"/>
  <c r="L426" s="1"/>
  <c r="M428"/>
  <c r="L428" s="1"/>
  <c r="M430"/>
  <c r="L430" s="1"/>
  <c r="M432"/>
  <c r="L432" s="1"/>
  <c r="M434"/>
  <c r="L434" s="1"/>
  <c r="M436"/>
  <c r="L436" s="1"/>
  <c r="M438"/>
  <c r="L438" s="1"/>
  <c r="M440"/>
  <c r="L440" s="1"/>
  <c r="M442"/>
  <c r="L442" s="1"/>
  <c r="M444"/>
  <c r="L444" s="1"/>
  <c r="M446"/>
  <c r="L446" s="1"/>
  <c r="M448"/>
  <c r="L448" s="1"/>
  <c r="M450"/>
  <c r="L450" s="1"/>
  <c r="M452"/>
  <c r="L452" s="1"/>
  <c r="M454"/>
  <c r="L454" s="1"/>
  <c r="M456"/>
  <c r="L456" s="1"/>
  <c r="M458"/>
  <c r="L458" s="1"/>
  <c r="M460"/>
  <c r="L460" s="1"/>
  <c r="M462"/>
  <c r="L462" s="1"/>
  <c r="M464"/>
  <c r="L464" s="1"/>
  <c r="M468"/>
  <c r="L468" s="1"/>
  <c r="M163"/>
  <c r="L163" s="1"/>
  <c r="M164"/>
  <c r="L164" s="1"/>
  <c r="M165"/>
  <c r="L165" s="1"/>
  <c r="M166"/>
  <c r="L166" s="1"/>
  <c r="M167"/>
  <c r="L167" s="1"/>
  <c r="M168"/>
  <c r="L168" s="1"/>
  <c r="M169"/>
  <c r="L169" s="1"/>
  <c r="M170"/>
  <c r="L170" s="1"/>
  <c r="M171"/>
  <c r="L171" s="1"/>
  <c r="M172"/>
  <c r="L172" s="1"/>
  <c r="M173"/>
  <c r="L173" s="1"/>
  <c r="M174"/>
  <c r="L174" s="1"/>
  <c r="M175"/>
  <c r="L175" s="1"/>
  <c r="M176"/>
  <c r="L176" s="1"/>
  <c r="M177"/>
  <c r="L177" s="1"/>
  <c r="M178"/>
  <c r="L178" s="1"/>
  <c r="M179"/>
  <c r="L179" s="1"/>
  <c r="M180"/>
  <c r="L180" s="1"/>
  <c r="M181"/>
  <c r="L181" s="1"/>
  <c r="M182"/>
  <c r="L182" s="1"/>
  <c r="M183"/>
  <c r="L183" s="1"/>
  <c r="M184"/>
  <c r="L184" s="1"/>
  <c r="M185"/>
  <c r="L185" s="1"/>
  <c r="M186"/>
  <c r="L186" s="1"/>
  <c r="M187"/>
  <c r="L187" s="1"/>
  <c r="M188"/>
  <c r="L188" s="1"/>
  <c r="M189"/>
  <c r="L189" s="1"/>
  <c r="M190"/>
  <c r="L190" s="1"/>
  <c r="M191"/>
  <c r="L191" s="1"/>
  <c r="M192"/>
  <c r="L192" s="1"/>
  <c r="M193"/>
  <c r="L193" s="1"/>
  <c r="M194"/>
  <c r="L194" s="1"/>
  <c r="M195"/>
  <c r="L195" s="1"/>
  <c r="M196"/>
  <c r="L196" s="1"/>
  <c r="M197"/>
  <c r="L197" s="1"/>
  <c r="M198"/>
  <c r="L198" s="1"/>
  <c r="M199"/>
  <c r="L199" s="1"/>
  <c r="M200"/>
  <c r="L200" s="1"/>
  <c r="M201"/>
  <c r="L201" s="1"/>
  <c r="M202"/>
  <c r="L202" s="1"/>
  <c r="M203"/>
  <c r="L203" s="1"/>
  <c r="M204"/>
  <c r="L204" s="1"/>
  <c r="M205"/>
  <c r="L205" s="1"/>
  <c r="M206"/>
  <c r="L206" s="1"/>
  <c r="M207"/>
  <c r="L207" s="1"/>
  <c r="M208"/>
  <c r="L208" s="1"/>
  <c r="M209"/>
  <c r="L209" s="1"/>
  <c r="M210"/>
  <c r="L210" s="1"/>
  <c r="M211"/>
  <c r="L211" s="1"/>
  <c r="M212"/>
  <c r="L212" s="1"/>
  <c r="M213"/>
  <c r="L213" s="1"/>
  <c r="M214"/>
  <c r="L214" s="1"/>
  <c r="M215"/>
  <c r="L215" s="1"/>
  <c r="M216"/>
  <c r="L216" s="1"/>
  <c r="M217"/>
  <c r="L217" s="1"/>
  <c r="M218"/>
  <c r="L218" s="1"/>
  <c r="M219"/>
  <c r="L219" s="1"/>
  <c r="M220"/>
  <c r="L220" s="1"/>
  <c r="M221"/>
  <c r="L221" s="1"/>
  <c r="M222"/>
  <c r="L222" s="1"/>
  <c r="M223"/>
  <c r="L223" s="1"/>
  <c r="M224"/>
  <c r="L224" s="1"/>
  <c r="M225"/>
  <c r="L225" s="1"/>
  <c r="M226"/>
  <c r="L226" s="1"/>
  <c r="M227"/>
  <c r="L227" s="1"/>
  <c r="M228"/>
  <c r="L228" s="1"/>
  <c r="M229"/>
  <c r="L229" s="1"/>
  <c r="M230"/>
  <c r="L230" s="1"/>
  <c r="M231"/>
  <c r="L231" s="1"/>
  <c r="M232"/>
  <c r="L232" s="1"/>
  <c r="M233"/>
  <c r="L233" s="1"/>
  <c r="M234"/>
  <c r="L234" s="1"/>
  <c r="M235"/>
  <c r="L235" s="1"/>
  <c r="M236"/>
  <c r="L236" s="1"/>
  <c r="M237"/>
  <c r="L237" s="1"/>
  <c r="M238"/>
  <c r="L238" s="1"/>
  <c r="M239"/>
  <c r="L239" s="1"/>
  <c r="M240"/>
  <c r="L240" s="1"/>
  <c r="M241"/>
  <c r="L241" s="1"/>
  <c r="M242"/>
  <c r="L242" s="1"/>
  <c r="M243"/>
  <c r="L243" s="1"/>
  <c r="M244"/>
  <c r="L244" s="1"/>
  <c r="M245"/>
  <c r="L245" s="1"/>
  <c r="M246"/>
  <c r="L246" s="1"/>
  <c r="M247"/>
  <c r="L247" s="1"/>
  <c r="M248"/>
  <c r="L248" s="1"/>
  <c r="M249"/>
  <c r="L249" s="1"/>
  <c r="M250"/>
  <c r="L250" s="1"/>
  <c r="M251"/>
  <c r="L251" s="1"/>
  <c r="M252"/>
  <c r="L252" s="1"/>
  <c r="M253"/>
  <c r="L253" s="1"/>
  <c r="M254"/>
  <c r="L254" s="1"/>
  <c r="M255"/>
  <c r="L255" s="1"/>
  <c r="M256"/>
  <c r="L256" s="1"/>
  <c r="M257"/>
  <c r="L257" s="1"/>
  <c r="M258"/>
  <c r="L258" s="1"/>
  <c r="M259"/>
  <c r="L259" s="1"/>
  <c r="M260"/>
  <c r="L260" s="1"/>
  <c r="M261"/>
  <c r="L261" s="1"/>
  <c r="M262"/>
  <c r="L262" s="1"/>
  <c r="M263"/>
  <c r="L263" s="1"/>
  <c r="M264"/>
  <c r="L264" s="1"/>
  <c r="M265"/>
  <c r="L265" s="1"/>
  <c r="M266"/>
  <c r="L266" s="1"/>
  <c r="M267"/>
  <c r="L267" s="1"/>
  <c r="M268"/>
  <c r="L268" s="1"/>
  <c r="M269"/>
  <c r="L269" s="1"/>
  <c r="M270"/>
  <c r="L270" s="1"/>
  <c r="M271"/>
  <c r="L271" s="1"/>
  <c r="M272"/>
  <c r="L272" s="1"/>
  <c r="M273"/>
  <c r="L273" s="1"/>
  <c r="M274"/>
  <c r="L274" s="1"/>
  <c r="M275"/>
  <c r="L275" s="1"/>
  <c r="M276"/>
  <c r="L276" s="1"/>
  <c r="M277"/>
  <c r="L277" s="1"/>
  <c r="M278"/>
  <c r="L278" s="1"/>
  <c r="M279"/>
  <c r="L279" s="1"/>
  <c r="M280"/>
  <c r="L280" s="1"/>
  <c r="M281"/>
  <c r="L281" s="1"/>
  <c r="M282"/>
  <c r="L282" s="1"/>
  <c r="M283"/>
  <c r="L283" s="1"/>
  <c r="M284"/>
  <c r="L284" s="1"/>
  <c r="M285"/>
  <c r="L285" s="1"/>
  <c r="M286"/>
  <c r="L286" s="1"/>
  <c r="M287"/>
  <c r="L287" s="1"/>
  <c r="M288"/>
  <c r="L288" s="1"/>
  <c r="M289"/>
  <c r="L289" s="1"/>
  <c r="M290"/>
  <c r="L290" s="1"/>
  <c r="M291"/>
  <c r="L291" s="1"/>
  <c r="M292"/>
  <c r="L292" s="1"/>
  <c r="M293"/>
  <c r="L293" s="1"/>
  <c r="M294"/>
  <c r="L294" s="1"/>
  <c r="M295"/>
  <c r="L295" s="1"/>
  <c r="M296"/>
  <c r="L296" s="1"/>
  <c r="M297"/>
  <c r="L297" s="1"/>
  <c r="M298"/>
  <c r="L298" s="1"/>
  <c r="M299"/>
  <c r="L299" s="1"/>
  <c r="M300"/>
  <c r="L300" s="1"/>
  <c r="M301"/>
  <c r="L301" s="1"/>
  <c r="M302"/>
  <c r="L302" s="1"/>
  <c r="M303"/>
  <c r="L303" s="1"/>
  <c r="M304"/>
  <c r="L304" s="1"/>
  <c r="M305"/>
  <c r="L305" s="1"/>
  <c r="M306"/>
  <c r="L306" s="1"/>
  <c r="M307"/>
  <c r="L307" s="1"/>
  <c r="M308"/>
  <c r="L308" s="1"/>
  <c r="M309"/>
  <c r="L309" s="1"/>
  <c r="M310"/>
  <c r="L310" s="1"/>
  <c r="M311"/>
  <c r="L311" s="1"/>
  <c r="M312"/>
  <c r="L312" s="1"/>
  <c r="M313"/>
  <c r="L313" s="1"/>
  <c r="M314"/>
  <c r="L314" s="1"/>
  <c r="M315"/>
  <c r="L315" s="1"/>
  <c r="M316"/>
  <c r="L316" s="1"/>
  <c r="M317"/>
  <c r="L317" s="1"/>
  <c r="M318"/>
  <c r="L318" s="1"/>
  <c r="M319"/>
  <c r="L319" s="1"/>
  <c r="M320"/>
  <c r="L320" s="1"/>
  <c r="M321"/>
  <c r="L321" s="1"/>
  <c r="M322"/>
  <c r="L322" s="1"/>
  <c r="M323"/>
  <c r="L323" s="1"/>
  <c r="M324"/>
  <c r="L324" s="1"/>
  <c r="M325"/>
  <c r="L325" s="1"/>
  <c r="M326"/>
  <c r="L326" s="1"/>
  <c r="M327"/>
  <c r="L327" s="1"/>
  <c r="M328"/>
  <c r="L328" s="1"/>
  <c r="M329"/>
  <c r="L329" s="1"/>
  <c r="M330"/>
  <c r="L330" s="1"/>
  <c r="M331"/>
  <c r="L331" s="1"/>
  <c r="M332"/>
  <c r="L332" s="1"/>
  <c r="M333"/>
  <c r="L333" s="1"/>
  <c r="M334"/>
  <c r="L334" s="1"/>
  <c r="M335"/>
  <c r="L335" s="1"/>
  <c r="M336"/>
  <c r="L336" s="1"/>
  <c r="M337"/>
  <c r="L337" s="1"/>
  <c r="M338"/>
  <c r="L338" s="1"/>
  <c r="M339"/>
  <c r="L339" s="1"/>
  <c r="M340"/>
  <c r="L340" s="1"/>
  <c r="M341"/>
  <c r="L341" s="1"/>
  <c r="M342"/>
  <c r="L342" s="1"/>
  <c r="M343"/>
  <c r="L343" s="1"/>
  <c r="M344"/>
  <c r="L344" s="1"/>
  <c r="M345"/>
  <c r="L345" s="1"/>
  <c r="M346"/>
  <c r="L346" s="1"/>
  <c r="M347"/>
  <c r="L347" s="1"/>
  <c r="M348"/>
  <c r="L348" s="1"/>
  <c r="M349"/>
  <c r="L349" s="1"/>
  <c r="M350"/>
  <c r="L350" s="1"/>
  <c r="M351"/>
  <c r="L351" s="1"/>
  <c r="M352"/>
  <c r="L352" s="1"/>
  <c r="M353"/>
  <c r="L353" s="1"/>
  <c r="M354"/>
  <c r="L354" s="1"/>
  <c r="M355"/>
  <c r="L355" s="1"/>
  <c r="M356"/>
  <c r="L356" s="1"/>
  <c r="M357"/>
  <c r="L357" s="1"/>
  <c r="M358"/>
  <c r="L358" s="1"/>
  <c r="M359"/>
  <c r="L359" s="1"/>
  <c r="M360"/>
  <c r="L360" s="1"/>
  <c r="M361"/>
  <c r="L361" s="1"/>
  <c r="M362"/>
  <c r="L362" s="1"/>
  <c r="M363"/>
  <c r="L363" s="1"/>
  <c r="M364"/>
  <c r="L364" s="1"/>
  <c r="M365"/>
  <c r="L365" s="1"/>
  <c r="M366"/>
  <c r="L366" s="1"/>
  <c r="M367"/>
  <c r="L367" s="1"/>
  <c r="M368"/>
  <c r="L368" s="1"/>
  <c r="M369"/>
  <c r="L369" s="1"/>
  <c r="M370"/>
  <c r="L370" s="1"/>
  <c r="M371"/>
  <c r="L371" s="1"/>
  <c r="M372"/>
  <c r="L372" s="1"/>
  <c r="M373"/>
  <c r="L373" s="1"/>
  <c r="M374"/>
  <c r="L374" s="1"/>
  <c r="M375"/>
  <c r="L375" s="1"/>
  <c r="M376"/>
  <c r="L376" s="1"/>
  <c r="M377"/>
  <c r="L377" s="1"/>
  <c r="M378"/>
  <c r="L378" s="1"/>
  <c r="M379"/>
  <c r="L379" s="1"/>
  <c r="M380"/>
  <c r="L380" s="1"/>
  <c r="M381"/>
  <c r="L381" s="1"/>
  <c r="M382"/>
  <c r="L382" s="1"/>
  <c r="M383"/>
  <c r="L383" s="1"/>
  <c r="M384"/>
  <c r="L384" s="1"/>
  <c r="M385"/>
  <c r="L385" s="1"/>
  <c r="M4"/>
  <c r="M470" l="1"/>
  <c r="L4"/>
</calcChain>
</file>

<file path=xl/sharedStrings.xml><?xml version="1.0" encoding="utf-8"?>
<sst xmlns="http://schemas.openxmlformats.org/spreadsheetml/2006/main" count="1414" uniqueCount="1122">
  <si>
    <t>№ ПП</t>
  </si>
  <si>
    <t>КОД</t>
  </si>
  <si>
    <t>НАЗВАНИЕ РАБОТЫ</t>
  </si>
  <si>
    <t>ИЗМЕРИТЕЛЬ</t>
  </si>
  <si>
    <t>КОЛ-ВО ЕД. ИЗМ.</t>
  </si>
  <si>
    <t>ПЕРИОДИЧ- НОСТЬ В ГОД</t>
  </si>
  <si>
    <t>ТРУД. РЕСУРСЫ, РУБ.</t>
  </si>
  <si>
    <t>МАТЕР. РЕСУРСЫ, РУБ.</t>
  </si>
  <si>
    <t>МАШ. МЕХ., РУБ.</t>
  </si>
  <si>
    <t>НАКЛ. РАСХОДЫ, РУБ.</t>
  </si>
  <si>
    <t>ПРИБЫЛЬ, РУБ.</t>
  </si>
  <si>
    <t>СТОИМОСТЬ, РУБ.</t>
  </si>
  <si>
    <t>1.1.1.1</t>
  </si>
  <si>
    <t>Усиление фундаментов цементацией</t>
  </si>
  <si>
    <t>100 м3 фундамента</t>
  </si>
  <si>
    <t>1.1.1.4</t>
  </si>
  <si>
    <t>Устранение повреждений железобетонных фундаментов</t>
  </si>
  <si>
    <t>м3</t>
  </si>
  <si>
    <t>1.1.8</t>
  </si>
  <si>
    <t>Восстановление (ремонт)  решеток на  продухах  фундамента</t>
  </si>
  <si>
    <t>100 решеток</t>
  </si>
  <si>
    <t>1.1.9</t>
  </si>
  <si>
    <t>Восстановление (ремонт)  приямков</t>
  </si>
  <si>
    <t>кв.м. приямка</t>
  </si>
  <si>
    <t>1.1.10</t>
  </si>
  <si>
    <t>Восстановление (ремонт) отмостки</t>
  </si>
  <si>
    <t>100 м2 отмостки</t>
  </si>
  <si>
    <t>1.2.1.1.5.1</t>
  </si>
  <si>
    <t>Ремонт поверхности кирпичных стен с расшивкой швов и толщиной заделки до 1/2 кирпича</t>
  </si>
  <si>
    <t>100 м2 отремонтированной поверхности</t>
  </si>
  <si>
    <t>1.2.1.1.5.9</t>
  </si>
  <si>
    <t>Укрепление слабодержащихся кирпичей</t>
  </si>
  <si>
    <t>100 м2  отремонтированной поверхности</t>
  </si>
  <si>
    <t>1.2.1.2.1.1</t>
  </si>
  <si>
    <t>Заделка отверстий в бетонных и железобетонных стенах и перегородках с площадью отверстий до 0,1 кв.м и глубиной до 100 мм</t>
  </si>
  <si>
    <t>100 отверстий</t>
  </si>
  <si>
    <t>1.2.1.2.1.2</t>
  </si>
  <si>
    <t>Заделка отверстий в бетонных и железобетонных стенах и перегородках с площадью отверстий до 0,1 кв.м и глубиной до 150 мм</t>
  </si>
  <si>
    <t>1.2.1.2.1.3</t>
  </si>
  <si>
    <t>Заделка отверстий в бетонных и железобетонных стенах и перегородках с площадью отверстий до 0,2 кв.м и глубиной до 100 мм</t>
  </si>
  <si>
    <t>1.2.1.2.1.4</t>
  </si>
  <si>
    <t>Заделка отверстий в бетонных и железобетонных стенах и перегородках с площадью отверстий до 0,2 кв.м и глубиной до 150 мм</t>
  </si>
  <si>
    <t>1.2.9.4.3</t>
  </si>
  <si>
    <t>Ремонт обыкновенной штукатурки  фасадов каменных стен с прорезкой рустов</t>
  </si>
  <si>
    <t>1.2.12.1.1</t>
  </si>
  <si>
    <t>Известковое окрашивание оштукатуренных гладких фасадов</t>
  </si>
  <si>
    <t>100 м2 обработанной поверхности</t>
  </si>
  <si>
    <t>1.2.12.4.1</t>
  </si>
  <si>
    <t>Окрашивание гладких кирпичных фасадов силикатными красками</t>
  </si>
  <si>
    <t>1.2.17.2</t>
  </si>
  <si>
    <t>Известковая окраска ранее окрашенных поверхностей стен</t>
  </si>
  <si>
    <t>100 м2 окрашенной поверхности</t>
  </si>
  <si>
    <t>1.2.17.3.1</t>
  </si>
  <si>
    <t>Простая масляная окраска ранее окрашенных поверхностей</t>
  </si>
  <si>
    <t>1.2.17.3.2</t>
  </si>
  <si>
    <t>Улучшенная масляная окраска ранее окрашенных поверхностей</t>
  </si>
  <si>
    <t>1.2.18.1</t>
  </si>
  <si>
    <t>Ремонт внутренней штукатурки потолков отдельными местами</t>
  </si>
  <si>
    <t>100 кв. м</t>
  </si>
  <si>
    <t>1.2.18.4</t>
  </si>
  <si>
    <t>Простая клеевая окраска потолков</t>
  </si>
  <si>
    <t>1.2.18.5</t>
  </si>
  <si>
    <t>Улучшенная клеевая окраска потолков</t>
  </si>
  <si>
    <t>1.2.18.6</t>
  </si>
  <si>
    <t>Известковая окраска ранее окрашенных поверхностей потолков</t>
  </si>
  <si>
    <t>100 кв.м</t>
  </si>
  <si>
    <t>1.2.18.7</t>
  </si>
  <si>
    <t>Простая масляная окраска ранее окрашенных потолков</t>
  </si>
  <si>
    <t>1.2.18.8</t>
  </si>
  <si>
    <t>Улучшенная масляная окраска ранее окрашенных потолков</t>
  </si>
  <si>
    <t>1.2.19</t>
  </si>
  <si>
    <t>Установка групповых металлических почтовых ящиков на 6 отделений</t>
  </si>
  <si>
    <t>1 ящик</t>
  </si>
  <si>
    <t>1.4.1.2</t>
  </si>
  <si>
    <t>Восстановление козырьков</t>
  </si>
  <si>
    <t>кв.м.</t>
  </si>
  <si>
    <t>1.4.2</t>
  </si>
  <si>
    <t>Восстановление организованного отвода воды с балконов, лоджий, козырьков и эркеров</t>
  </si>
  <si>
    <t>100 кв.м. фасадов</t>
  </si>
  <si>
    <t>1.4.4.1</t>
  </si>
  <si>
    <t>Восстановление ограждающих решеток</t>
  </si>
  <si>
    <t>1 м. решетки</t>
  </si>
  <si>
    <t>1.4.5.3</t>
  </si>
  <si>
    <t>Простая масляная окраска элементов балконов, лоджий, эркеров и козырьков с лестниц</t>
  </si>
  <si>
    <t>100 кв.м.</t>
  </si>
  <si>
    <t>1.6.2.1</t>
  </si>
  <si>
    <t>Ремонт покрытия полов из керамических плиток до 10 шт. размерами 300 мм*300 мм</t>
  </si>
  <si>
    <t>10 плиток</t>
  </si>
  <si>
    <t>1.6.2.2</t>
  </si>
  <si>
    <t>Ремонт покрытия полов из линолеума</t>
  </si>
  <si>
    <t>м2 отремонтированного пола</t>
  </si>
  <si>
    <t>1.6.4.4</t>
  </si>
  <si>
    <t>Ремонт бетонных полов</t>
  </si>
  <si>
    <t>1.6.4.5</t>
  </si>
  <si>
    <t>Ремонт поверхности цементных полов</t>
  </si>
  <si>
    <t>1.6.4.6</t>
  </si>
  <si>
    <t>Выравнивание поверхности бетонных и цементных оснований под полы</t>
  </si>
  <si>
    <t>100 м2</t>
  </si>
  <si>
    <t>1.7.5.1</t>
  </si>
  <si>
    <t>Восстановление облицовки перегородок из керамических плиток со сменой плиток в одном месте до 10 штук</t>
  </si>
  <si>
    <t>100 плиток</t>
  </si>
  <si>
    <t>1.7.5.2</t>
  </si>
  <si>
    <t>Восстановление облицовки перегородок из керамических плиток со сменой плиток в одном месте более 10 штук</t>
  </si>
  <si>
    <t>1.7.5.5</t>
  </si>
  <si>
    <t>Восстановление (ремонт) штукатурки кирпичных, железобетонных и гипсокартонных перегородок известковым раствором площадью отдельных мест до 1 кв.м.</t>
  </si>
  <si>
    <t>1.8.1.1.1</t>
  </si>
  <si>
    <t>Смена поврежденных листов асбоцементных кровель</t>
  </si>
  <si>
    <t>100 м2 сменяемого покрытия</t>
  </si>
  <si>
    <t>1.8.1.2.1</t>
  </si>
  <si>
    <t>Постановка заплат на покрытия из кровельной стали, при размере заплат 1/4 листа</t>
  </si>
  <si>
    <t>100 заплат</t>
  </si>
  <si>
    <t>1.8.1.2.2</t>
  </si>
  <si>
    <t>Постановка заплат на покрытия из кровельной стали, при размере заплат 1/2 листа</t>
  </si>
  <si>
    <t>1.8.1.2.4</t>
  </si>
  <si>
    <t>Промазка свищей в покрытии из кровельной стали</t>
  </si>
  <si>
    <t>1000 свищей</t>
  </si>
  <si>
    <t>1.8.1.3.1</t>
  </si>
  <si>
    <t>Постановка заплат на покрытия из мягкой кровли</t>
  </si>
  <si>
    <t>100 м2 покрытий</t>
  </si>
  <si>
    <t>1.8.6.1</t>
  </si>
  <si>
    <t>Смена вентиляционной решетки</t>
  </si>
  <si>
    <t>10 решеток</t>
  </si>
  <si>
    <t>1.8.6.2</t>
  </si>
  <si>
    <t>Ремонт продухов вентиляции</t>
  </si>
  <si>
    <t>1.8.6.3</t>
  </si>
  <si>
    <t>Окраска продухов вентиляции</t>
  </si>
  <si>
    <t>1.8.7.6</t>
  </si>
  <si>
    <t>Оштукатуривание поверхности дымовых труб</t>
  </si>
  <si>
    <t xml:space="preserve">100 м2 поверхности </t>
  </si>
  <si>
    <t>1.8.8.1</t>
  </si>
  <si>
    <t>Смена  дефлектора</t>
  </si>
  <si>
    <t>100 дефлекторов</t>
  </si>
  <si>
    <t>1.8.8.2</t>
  </si>
  <si>
    <t>Окрашивание дефлектора спецсоставом с алюминиевой пудрой</t>
  </si>
  <si>
    <t>100  м2 окрашиваемой поверхности</t>
  </si>
  <si>
    <t>1.8.9.1</t>
  </si>
  <si>
    <t>Окраска масляными составами ранее окрашенных металлических лестниц и дверей на крышу за 1 раз</t>
  </si>
  <si>
    <t>1.8.9.2</t>
  </si>
  <si>
    <t>Окраска деревянных лестниц и  дверей выхода на крышу</t>
  </si>
  <si>
    <t>1.8.9.3</t>
  </si>
  <si>
    <t>1.8.9.4</t>
  </si>
  <si>
    <t>Ремонт обыкновенной штукатурки гладких каменных фасадов отдельными местами</t>
  </si>
  <si>
    <t>1.8.10.1</t>
  </si>
  <si>
    <t>Смена покрытия  парапетов или брандмауэров без обделки боковых сторон при ширине покрытия до 1 м</t>
  </si>
  <si>
    <t>100 м</t>
  </si>
  <si>
    <t>1.8.10.2</t>
  </si>
  <si>
    <t>Смена покрытия  парапетов или брандмауэров с обделкой боковых сторон при ширине покрытия до 1,75 м.</t>
  </si>
  <si>
    <t>1.8.10.3</t>
  </si>
  <si>
    <t>Смена покрытия   зонтов и козырьков над крыльцами и подъездами</t>
  </si>
  <si>
    <t>100 м2 объема работ</t>
  </si>
  <si>
    <t>1.8.10.5</t>
  </si>
  <si>
    <t>Масляная окраска  парапетов, архитектурных деталей</t>
  </si>
  <si>
    <t>1.8.11.1</t>
  </si>
  <si>
    <t>Ремонт водосточных труб с земли и подмостей</t>
  </si>
  <si>
    <t>100 м трубы</t>
  </si>
  <si>
    <t>1.8.11.2</t>
  </si>
  <si>
    <t>Ремонт водосточных труб с люлек</t>
  </si>
  <si>
    <t>1.8.11.3</t>
  </si>
  <si>
    <t>Смена прямых звеньев водосточных труб</t>
  </si>
  <si>
    <t>1.8.11.4</t>
  </si>
  <si>
    <t>Смена воронок</t>
  </si>
  <si>
    <t>100 шт.</t>
  </si>
  <si>
    <t>1.8.11.8</t>
  </si>
  <si>
    <t>Масляная окраска  водосточных труб</t>
  </si>
  <si>
    <t>1.8.12.1</t>
  </si>
  <si>
    <t>Смена обделок примыканий из листовой стали к каменным стенам</t>
  </si>
  <si>
    <t>1.8.12.3</t>
  </si>
  <si>
    <t>Смена обделок примыканий из листовой стали к  дымовым трубам</t>
  </si>
  <si>
    <t>100 труб</t>
  </si>
  <si>
    <t>1.8.12.4</t>
  </si>
  <si>
    <t>Смена обделок примыканий из листовой стали к  вытяжным  трубам длиной до 1 м</t>
  </si>
  <si>
    <t>1.8.13.1</t>
  </si>
  <si>
    <t>Масляная окраска ранее окрашенных поверхностей</t>
  </si>
  <si>
    <t>1.8.13.3</t>
  </si>
  <si>
    <t>Замена обивки дверей стальным листом</t>
  </si>
  <si>
    <t>100  м2 двери</t>
  </si>
  <si>
    <t>1.9.1.4</t>
  </si>
  <si>
    <t>Ремонт дверных коробок в узких каменных стенах</t>
  </si>
  <si>
    <t>10 коробок</t>
  </si>
  <si>
    <t>1.9.1.6</t>
  </si>
  <si>
    <t>Ремонт дверных коробок в широких каменных стенах</t>
  </si>
  <si>
    <t>1.9.1.8</t>
  </si>
  <si>
    <t>Ремонт порогов шириной 100 мм</t>
  </si>
  <si>
    <t>100 отремонтированных мест</t>
  </si>
  <si>
    <t>1.9.1.9</t>
  </si>
  <si>
    <t>Ремонт порогов шириной 150 мм</t>
  </si>
  <si>
    <t>1.9.1.10</t>
  </si>
  <si>
    <t>Смена дверных петель при одной сменяемой петле в полотне</t>
  </si>
  <si>
    <t>10 петель</t>
  </si>
  <si>
    <t>1.9.1.11</t>
  </si>
  <si>
    <t>Смена дверных петель при двух сменяемых петлях в полотне</t>
  </si>
  <si>
    <t>1.9.1.12</t>
  </si>
  <si>
    <t>Смена наличников дверных проемов из мягкой древесины с укреплением гвоздями</t>
  </si>
  <si>
    <t>1 п.м. наличника</t>
  </si>
  <si>
    <t>1.9.1.15</t>
  </si>
  <si>
    <t>Укрепление наличников дверных проемов</t>
  </si>
  <si>
    <t>1.9.1.16</t>
  </si>
  <si>
    <t>Смена пружины</t>
  </si>
  <si>
    <t>1 пружина</t>
  </si>
  <si>
    <t>1.9.1.17</t>
  </si>
  <si>
    <t>Смена ручки дверной</t>
  </si>
  <si>
    <t>1 ручка</t>
  </si>
  <si>
    <t>1.9.1.18</t>
  </si>
  <si>
    <t>Смена щеколды</t>
  </si>
  <si>
    <t>100 щеколд</t>
  </si>
  <si>
    <t>1.9.1.19</t>
  </si>
  <si>
    <t>Смена замков накладных</t>
  </si>
  <si>
    <t>100 замков</t>
  </si>
  <si>
    <t>1.9.1.20</t>
  </si>
  <si>
    <t>Смена замков врезных</t>
  </si>
  <si>
    <t>1.9.1.21</t>
  </si>
  <si>
    <t>Восстановление (модернизация) остекления дверей</t>
  </si>
  <si>
    <t>1.9.1.22</t>
  </si>
  <si>
    <t>Простая масляная окраска дверей</t>
  </si>
  <si>
    <t>1.9.1.23</t>
  </si>
  <si>
    <t>Улучшенная масляная окраска дверей</t>
  </si>
  <si>
    <t>1.9.1.24</t>
  </si>
  <si>
    <t>Установка дверного доводчика к металлическим дверям</t>
  </si>
  <si>
    <t>1 доводчик</t>
  </si>
  <si>
    <t>1.9.1.26</t>
  </si>
  <si>
    <t>Установка дверей и заслонок в проемах подвальных и чердачных помещений</t>
  </si>
  <si>
    <t>1 полотно</t>
  </si>
  <si>
    <t>1.9.2.5</t>
  </si>
  <si>
    <t>Ремонт оконных переплетов узких одинарных коробок со спаренными переплетами</t>
  </si>
  <si>
    <t>10 створок</t>
  </si>
  <si>
    <t>1.9.2.6</t>
  </si>
  <si>
    <t>Ремонт оконных переплетов широких составных коробок</t>
  </si>
  <si>
    <t>1.9.2.8</t>
  </si>
  <si>
    <t>Ремонт форточек</t>
  </si>
  <si>
    <t>10 форточек</t>
  </si>
  <si>
    <t>1.9.2.9</t>
  </si>
  <si>
    <t>Ремонт подоконных досок</t>
  </si>
  <si>
    <t>1 м подоконной доски</t>
  </si>
  <si>
    <t>1.9.2.10</t>
  </si>
  <si>
    <t>Смена оконных петель при одной сменяемой петле в створке</t>
  </si>
  <si>
    <t>1.9.2.11</t>
  </si>
  <si>
    <t>Смена оконных петель при двух сменяемых петлях в створке</t>
  </si>
  <si>
    <t>1.9.2.15</t>
  </si>
  <si>
    <t>Укрепление наличников оконных проемов</t>
  </si>
  <si>
    <t>1.9.2.22</t>
  </si>
  <si>
    <t>Временная замена разбитого стекла фанерой</t>
  </si>
  <si>
    <t>10 кв.м.</t>
  </si>
  <si>
    <t>1.9.2.23</t>
  </si>
  <si>
    <t>Смена ручки оконной</t>
  </si>
  <si>
    <t>100 ручек</t>
  </si>
  <si>
    <t>1.9.2.24</t>
  </si>
  <si>
    <t>Смена задвижки</t>
  </si>
  <si>
    <t>100 задвижек</t>
  </si>
  <si>
    <t>1.9.2.25</t>
  </si>
  <si>
    <t>Простая масляная окраска оконных рам</t>
  </si>
  <si>
    <t>1.9.2.26</t>
  </si>
  <si>
    <t>Улучшенная масляная окраска оконных рам</t>
  </si>
  <si>
    <t>1.9.2.27</t>
  </si>
  <si>
    <t>Установка водоотливов с высотой проемов до 1 м</t>
  </si>
  <si>
    <t>100 кв.м. проемов</t>
  </si>
  <si>
    <t>1.9.2.28</t>
  </si>
  <si>
    <t>Установка водоотливов с высотой проемов 1-2 м</t>
  </si>
  <si>
    <t>1.9.2.30</t>
  </si>
  <si>
    <t>Замена негодных деревянных жалюзей слуховых окон с изготовлением их</t>
  </si>
  <si>
    <t>1 штука</t>
  </si>
  <si>
    <t>1.9.2.31</t>
  </si>
  <si>
    <t>Малый ремонт слухового окна с исправлением обшивки и переплета</t>
  </si>
  <si>
    <t>1 место</t>
  </si>
  <si>
    <t>1.9.3.1</t>
  </si>
  <si>
    <t>Замена одностворных дверей на врезных шпонках</t>
  </si>
  <si>
    <t>1.9.3.2</t>
  </si>
  <si>
    <t>Замена двустворных дверей на врезных шпонках</t>
  </si>
  <si>
    <t>1.9.3.3</t>
  </si>
  <si>
    <t>Замена одностворных дверей на планках</t>
  </si>
  <si>
    <t>1.9.3.4</t>
  </si>
  <si>
    <t>Замена двустворных дверей на планках</t>
  </si>
  <si>
    <t>1.9.4.1</t>
  </si>
  <si>
    <t>Смена створок оконных переплетов узких одинарных коробок</t>
  </si>
  <si>
    <t>1 створка</t>
  </si>
  <si>
    <t>1.9.4.2</t>
  </si>
  <si>
    <t>Смена створок оконных переплетов узких одинарных коробок со спаренными переплетами</t>
  </si>
  <si>
    <t>1.9.4.3</t>
  </si>
  <si>
    <t>Смена створок оконных переплетов широких составных коробок</t>
  </si>
  <si>
    <t>1.9.4.4</t>
  </si>
  <si>
    <t>Установка в жилых зданиях блоков оконных с переплетами спаренными в стенах деревянных рубленых площадью проема до 2 кв.м.</t>
  </si>
  <si>
    <t>100 м2 проемов</t>
  </si>
  <si>
    <t>1.9.5.1</t>
  </si>
  <si>
    <t>Обивка дверей теплоизолирующим материалом</t>
  </si>
  <si>
    <t>100 кв.м. двери</t>
  </si>
  <si>
    <t>1.9.5.2</t>
  </si>
  <si>
    <t>Проконопачивание и укрепление дверных коробок</t>
  </si>
  <si>
    <t>100 коробок</t>
  </si>
  <si>
    <t>1.9.5.3</t>
  </si>
  <si>
    <t>Обивка дверей оцинкованной кровельной сталью</t>
  </si>
  <si>
    <t>1.9.6.1</t>
  </si>
  <si>
    <t>Восстановление (ремонт) дверных и оконных откосов в каменных стенах</t>
  </si>
  <si>
    <t>1 кв.м. откоса</t>
  </si>
  <si>
    <t>1.9.6.2</t>
  </si>
  <si>
    <t>Восстановление (ремонт) штукатурки откосов каменных, блочных и крупнопанельных домов внутри здания</t>
  </si>
  <si>
    <t>100 кв.м. откосов</t>
  </si>
  <si>
    <t>1.10.1.1</t>
  </si>
  <si>
    <t>Ремонт металлических косоуров  с применением дуговой сварки</t>
  </si>
  <si>
    <t>1 балка</t>
  </si>
  <si>
    <t>1.10.1.2</t>
  </si>
  <si>
    <t>Оштукатуривание металлических косоуров</t>
  </si>
  <si>
    <t>100 м2 оштукатуренной поверхности</t>
  </si>
  <si>
    <t>1.10.3.1</t>
  </si>
  <si>
    <t>Ремонт металлических лестничных решеток</t>
  </si>
  <si>
    <t>100 м решетки</t>
  </si>
  <si>
    <t>1.10.3.2</t>
  </si>
  <si>
    <t>Укрепление стоек металлических решеток ограждения  лестниц и площадок</t>
  </si>
  <si>
    <t>100 укрепляемых  стоек</t>
  </si>
  <si>
    <t>1.10.4.1.1</t>
  </si>
  <si>
    <t>Смена прямых  частей поручней</t>
  </si>
  <si>
    <t>1.10.4.1.2</t>
  </si>
  <si>
    <t>Смена закругленных  частей поручней</t>
  </si>
  <si>
    <t>1.10.4.2</t>
  </si>
  <si>
    <t>Изготовление прямых частей  поручня</t>
  </si>
  <si>
    <t>1.10.4.3</t>
  </si>
  <si>
    <t>Изготовление  закруглений с марша на марш</t>
  </si>
  <si>
    <t>1.10.4.4</t>
  </si>
  <si>
    <t>Изготовление  закруглений с марша на площадку</t>
  </si>
  <si>
    <t>1.10.4.5</t>
  </si>
  <si>
    <t>Постановка заделок в тело поручней</t>
  </si>
  <si>
    <t>100 заделок</t>
  </si>
  <si>
    <t>1.10.5.1</t>
  </si>
  <si>
    <t>Окраска масляными составами ранее окрашенных металлических решеток  без рельефа за 1 раз</t>
  </si>
  <si>
    <t xml:space="preserve"> 100 м2 окрашиваемой поверхности</t>
  </si>
  <si>
    <t>1.10.5.2</t>
  </si>
  <si>
    <t>Окраска масляными составами ранее окрашенных металлических решеток без рельефа за 2 раза</t>
  </si>
  <si>
    <t>1.10.6.1</t>
  </si>
  <si>
    <t>Заделка трещин и мелких выбоин</t>
  </si>
  <si>
    <t>100 мест</t>
  </si>
  <si>
    <t>1.10.6.2</t>
  </si>
  <si>
    <t>Заделка отбитых мест</t>
  </si>
  <si>
    <t>1.10.7.3</t>
  </si>
  <si>
    <t>Заделка выбоин в каменных ступенях</t>
  </si>
  <si>
    <t>100 м2 заделанной поверхности</t>
  </si>
  <si>
    <t>2.1.1.1</t>
  </si>
  <si>
    <t>Ремонт стального водогрейного котла мощностью до 0,55 Гкал/ч</t>
  </si>
  <si>
    <t>котел</t>
  </si>
  <si>
    <t>2.1.1.2</t>
  </si>
  <si>
    <t>Замена горелок</t>
  </si>
  <si>
    <t>2.1.1.5</t>
  </si>
  <si>
    <t>Прочистка секций котла</t>
  </si>
  <si>
    <t>2.1.2.2.1</t>
  </si>
  <si>
    <t>Смена отдельных участков трубопроводов из стальных электросварных труб  диаметром 40 мм</t>
  </si>
  <si>
    <t>100 м трубопровода</t>
  </si>
  <si>
    <t>2.1.2.2.2</t>
  </si>
  <si>
    <t>Смена отдельных участков трубопроводов из стальных электросварных труб   диаметром 50 мм</t>
  </si>
  <si>
    <t>2.1.2.2.3</t>
  </si>
  <si>
    <t>Смена отдельных участков трубопроводов из стальных электросварных труб   диаметром 65 мм</t>
  </si>
  <si>
    <t>2.1.2.2.4</t>
  </si>
  <si>
    <t>Смена отдельных участков трубопроводов из стальных электросварных труб   диаметром  80 мм</t>
  </si>
  <si>
    <t>2.1.2.2.5</t>
  </si>
  <si>
    <t>Смена отдельных участков трубопроводов из стальных электросварных труб диаметром 100 мм</t>
  </si>
  <si>
    <t>2.1.2.2.6</t>
  </si>
  <si>
    <t>Смена отдельных участков трубопроводов из стальных электросварных труб диаметром 125 мм</t>
  </si>
  <si>
    <t>2.1.2.2.7</t>
  </si>
  <si>
    <t>Смена отдельных участков трубопроводов из стальных электросварных труб диаметром 150 мм</t>
  </si>
  <si>
    <t>2.1.2.3.1</t>
  </si>
  <si>
    <t>Модернизация внутридомовых тепловых сетей путем замены на трубопроводы из многослойных металл-полимерных труб при стояковой системе отопления диаметром до 20 мм</t>
  </si>
  <si>
    <t>пог.м.</t>
  </si>
  <si>
    <t>2.1.2.3.2</t>
  </si>
  <si>
    <t>Модернизация внутридомовых тепловых сетей путем замены на трубопроводы из многослойных металл-полимерных труб при стояковой системе отопления диаметром до 25 мм</t>
  </si>
  <si>
    <t>2.1.2.3.3</t>
  </si>
  <si>
    <t>Модернизация внутридомовых тепловых сетей путем замены на трубопроводы из многослойных металл-полимерных труб при стояковой системе отопления диаметром до 32 мм</t>
  </si>
  <si>
    <t>2.1.3.1.2</t>
  </si>
  <si>
    <t>Смена радиаторных блоков, вес радиаторного блока до 80 кг</t>
  </si>
  <si>
    <t>100 радиаторных блоков</t>
  </si>
  <si>
    <t>2.1.3.1.3</t>
  </si>
  <si>
    <t>Смена радиаторных блоков, вес радиаторного блока свыше 80 до 160 кг</t>
  </si>
  <si>
    <t>2.1.3.4.1</t>
  </si>
  <si>
    <t>Добавление секций к алюминиевому радиаторному блоку</t>
  </si>
  <si>
    <t>100 секций</t>
  </si>
  <si>
    <t>2.1.3.4.2</t>
  </si>
  <si>
    <t>Добавление секций к чугунному радиаторному блоку</t>
  </si>
  <si>
    <t>2.1.5.1</t>
  </si>
  <si>
    <t>Утепление трубопровода центрального отопления (водоснабжения)</t>
  </si>
  <si>
    <t>100 м2 утепленного участка</t>
  </si>
  <si>
    <t>2.1.5.3.1</t>
  </si>
  <si>
    <t>Восстановление разрушенной тепловой изоляции шнуром асбестовым</t>
  </si>
  <si>
    <t>100 м2 восстановленного участка</t>
  </si>
  <si>
    <t>2.1.5.3.2</t>
  </si>
  <si>
    <t>Восстановление разрушенной тепловой изоляции шнуром минераловатным</t>
  </si>
  <si>
    <t>2.1.5.3.3</t>
  </si>
  <si>
    <t>Восстановление разрушенной тепловой изоляции минераловатными матами</t>
  </si>
  <si>
    <t>2.1.6.1</t>
  </si>
  <si>
    <t>Ремонт прибора учета</t>
  </si>
  <si>
    <t>прибор</t>
  </si>
  <si>
    <t>2.1.6.2</t>
  </si>
  <si>
    <t>Замена прибора учета</t>
  </si>
  <si>
    <t>2.1.7.1</t>
  </si>
  <si>
    <t>Ремонт элеваторного узла с выходным проходом 50 мм</t>
  </si>
  <si>
    <t>1 узел</t>
  </si>
  <si>
    <t>2.1.7.2</t>
  </si>
  <si>
    <t>Ремонт элеваторного узла с выходным проходом 80 мм</t>
  </si>
  <si>
    <t>узел</t>
  </si>
  <si>
    <t>2.1.7.3</t>
  </si>
  <si>
    <t>Ремонт элеваторного узла с выходным проходом 100 мм</t>
  </si>
  <si>
    <t>2.1.7.4</t>
  </si>
  <si>
    <t>Замена элеватора № 1-5</t>
  </si>
  <si>
    <t>2.1.7.5</t>
  </si>
  <si>
    <t>Замена элеватора № 6-7</t>
  </si>
  <si>
    <t>2.1.8.1</t>
  </si>
  <si>
    <t>Ремонт центробежных насосов</t>
  </si>
  <si>
    <t>насос</t>
  </si>
  <si>
    <t>2.1.8.3.1</t>
  </si>
  <si>
    <t>Ремонт насосов малой мощности, диаметр патрубка 25 мм</t>
  </si>
  <si>
    <t>100 насосов</t>
  </si>
  <si>
    <t>2.1.8.3.2</t>
  </si>
  <si>
    <t>Ремонт насосов малой мощности, диаметр патрубка 40 мм</t>
  </si>
  <si>
    <t>2.1.8.3.3</t>
  </si>
  <si>
    <t>Ремонт насосов малой мощности, диаметр патрубка 50 мм</t>
  </si>
  <si>
    <t>2.1.8.4.1</t>
  </si>
  <si>
    <t>Смена параллельной задвижки,  диаметром до 100 мм</t>
  </si>
  <si>
    <t>2.1.8.4.2</t>
  </si>
  <si>
    <t>Смена параллельной задвижки,  диаметром до 150 мм</t>
  </si>
  <si>
    <t>2.1.8.4.3</t>
  </si>
  <si>
    <t>Смена параллельной задвижки,  диаметром до 200 мм</t>
  </si>
  <si>
    <t>2.1.8.5.1</t>
  </si>
  <si>
    <t>Снятие, прочистка и установка параллельной задвижки диаметром  100 мм</t>
  </si>
  <si>
    <t>2.1.8.5.2</t>
  </si>
  <si>
    <t>Снятие, прочистка и установка параллельной задвижки диаметром  150 мм</t>
  </si>
  <si>
    <t>2.1.8.6.1</t>
  </si>
  <si>
    <t>Смена кранов двойной регулировки диаметром прохода 15 мм</t>
  </si>
  <si>
    <t>100 кранов</t>
  </si>
  <si>
    <t>2.1.8.6.2</t>
  </si>
  <si>
    <t>Смена кранов двойной регулировки диаметром прохода 19 мм</t>
  </si>
  <si>
    <t>2.1.8.6.3</t>
  </si>
  <si>
    <t>Смена кранов двойной регулировки диаметром прохода 32 мм</t>
  </si>
  <si>
    <t>2.1.8.8.1</t>
  </si>
  <si>
    <t>Смена вентиля диаметром до 25 мм</t>
  </si>
  <si>
    <t>100 вентилей</t>
  </si>
  <si>
    <t>2.1.8.8.2</t>
  </si>
  <si>
    <t>Смена вентиля диаметром 25 мм</t>
  </si>
  <si>
    <t>2.1.8.8.3</t>
  </si>
  <si>
    <t>Смена вентиля диаметром свыше 26 до 50  мм</t>
  </si>
  <si>
    <t>2.1.8.9.1</t>
  </si>
  <si>
    <t>Установка кранов для спуска воздуха из системы, диаметр крана 15-20 мм</t>
  </si>
  <si>
    <t>2.1.8.9.2</t>
  </si>
  <si>
    <t>Установка кранов для спуска воздуха из системы, диаметр крана 21-25 мм</t>
  </si>
  <si>
    <t>2.1.9.1.1</t>
  </si>
  <si>
    <t xml:space="preserve">Установка линейных балансировочных вентилей и балансировка системы отопления, диаметром до 20 мм </t>
  </si>
  <si>
    <t>1 прибор</t>
  </si>
  <si>
    <t>2.1.9.1.3</t>
  </si>
  <si>
    <t>Установка линейных балансировочных вентилей и балансировка системы отопления, диаметром до 32 мм</t>
  </si>
  <si>
    <t>2.1.9.1.4</t>
  </si>
  <si>
    <t>Установка линейных балансировочных вентилей и балансировка системы отопления, диаметром до 40 мм</t>
  </si>
  <si>
    <t>2.1.9.1.5</t>
  </si>
  <si>
    <t>Установка линейных балансировочных вентилей и балансировка системы отопления, диаметром до 50 мм</t>
  </si>
  <si>
    <t>2.1.9.2.1</t>
  </si>
  <si>
    <t>Установка прибора учета тепловой энергии, горячей воды, диаметром до 50 мм</t>
  </si>
  <si>
    <t>2.1.9.2.2</t>
  </si>
  <si>
    <t>Установка прибора учета тепловой энергии, горячей воды, диаметром 50-100 мм</t>
  </si>
  <si>
    <t>2.2.1.1.1</t>
  </si>
  <si>
    <t>Смена отдельных участков трубопроводов  водоснабжения из стальных водогазопроводных оцинкованных труб диаметром  15 мм</t>
  </si>
  <si>
    <t>100 м трубопроводов</t>
  </si>
  <si>
    <t>2.2.1.1.2</t>
  </si>
  <si>
    <t>Смена отдельных участков трубопроводов   водоснабжения из стальных водогазопроводных оцинкованных труб диаметром  20 мм</t>
  </si>
  <si>
    <t>2.2.1.1.3</t>
  </si>
  <si>
    <t>Смена отдельных участков трубопроводов водоснабжения из стальных водогазопроводных оцинкованных труб диаметром  25 мм</t>
  </si>
  <si>
    <t>2.2.1.1.4</t>
  </si>
  <si>
    <t>Смена отдельных участков трубопроводов водоснабжения из стальных водогазопроводных оцинкованных труб диаметром 32 мм</t>
  </si>
  <si>
    <t>2.2.1.1.5</t>
  </si>
  <si>
    <t>Смена отдельных участков трубопроводов  водоснабжения из стальных водогазопроводных оцинкованных труб диаметром 40 мм</t>
  </si>
  <si>
    <t>2.2.1.1.6</t>
  </si>
  <si>
    <t>Смена отдельных участков трубопроводов  водоснабжения из стальных водогазопроводных оцинкованных труб диаметром 50 мм</t>
  </si>
  <si>
    <t>2.2.1.1.7</t>
  </si>
  <si>
    <t>Смена отдельных участков трубопроводов  водоснабжения из стальных водогазопроводных оцинкованных труб диаметром 65 мм</t>
  </si>
  <si>
    <t>2.2.1.1.8</t>
  </si>
  <si>
    <t>Смена отдельных участков трубопроводов водоснабжения из стальных водогазопроводных оцинкованных труб диаметром 80 мм</t>
  </si>
  <si>
    <t>2.2.1.2.1</t>
  </si>
  <si>
    <t>Смена отдельных участков трубопроводов водоснабжения из стальных водогазопроводных оцинкованных труб диаметром 40 мм</t>
  </si>
  <si>
    <t>2.2.1.2.2</t>
  </si>
  <si>
    <t>2.2.1.2.3</t>
  </si>
  <si>
    <t>2.2.1.2.4</t>
  </si>
  <si>
    <t>Смена отдельных участков трубопроводов  водоснабжения из стальных водогазопроводных оцинкованных труб диаметром 80 мм</t>
  </si>
  <si>
    <t>2.2.1.3.1</t>
  </si>
  <si>
    <t>Смена отдельных участков трубопроводов  водоснабжения из стальных электросварных труб диаметром 40 мм</t>
  </si>
  <si>
    <t>2.2.1.3.2</t>
  </si>
  <si>
    <t>Смена отдельных участков трубопроводов  водоснабжения из стальных электросварных труб диаметром 50 мм</t>
  </si>
  <si>
    <t>2.2.1.3.3</t>
  </si>
  <si>
    <t>Смена отдельных участков трубопроводов водоснабжения из стальных электросварных труб диаметром 65 мм</t>
  </si>
  <si>
    <t>2.2.1.3.4</t>
  </si>
  <si>
    <t>Смена отдельных участков трубопроводов  водоснабжения из стальных электросварных труб диаметром 80 мм</t>
  </si>
  <si>
    <t>2.2.1.5.1</t>
  </si>
  <si>
    <t>Замена внутренних водопроводов из стальных труб на металлопластиковые, диаметром 20 мм</t>
  </si>
  <si>
    <t>2.2.1.5.2</t>
  </si>
  <si>
    <t>Замена внутренних водопроводов из стальных труб   на металлопластиковые, диаметром 25 мм</t>
  </si>
  <si>
    <t>2.2.1.6.1</t>
  </si>
  <si>
    <t>Временная заделка свищей и трещин на внутренних трубопроводах и стояках при диаметре трубопровода до 50 мм</t>
  </si>
  <si>
    <t>2.2.1.6.2</t>
  </si>
  <si>
    <t>Временная заделка свищей и трещин на внутренних трубопроводах и стояках при диаметре трубопровода до 75 мм</t>
  </si>
  <si>
    <t>2.2.1.7.1</t>
  </si>
  <si>
    <t>Смена сгонов у трубопроводов диаметром до 20 мм</t>
  </si>
  <si>
    <t>100 сгонов</t>
  </si>
  <si>
    <t>2.2.1.7.2</t>
  </si>
  <si>
    <t>Смена сгонов у трубопроводов диаметром до 32 мм</t>
  </si>
  <si>
    <t>2.2.1.7.3</t>
  </si>
  <si>
    <t>Смена сгонов у трубопроводов диаметром до 50 мм</t>
  </si>
  <si>
    <t>2.2.1.8.1</t>
  </si>
  <si>
    <t>Уплотнение сгонов с применением льняной пряди или асбестового шнура (без разборки сгонов) диаметром до 20 мм</t>
  </si>
  <si>
    <t>1 сгон</t>
  </si>
  <si>
    <t>2.2.1.8.2</t>
  </si>
  <si>
    <t>Уплотнение сгонов с применением льняной пряди или асбестового шнура (без разборки сгонов) диаметром до 32 мм</t>
  </si>
  <si>
    <t>2.2.1.8.3</t>
  </si>
  <si>
    <t>Уплотнение сгонов с применением льняной пряди или асбестового шнура (без разборки сгонов) диаметром до 50 мм</t>
  </si>
  <si>
    <t>2.2.1.8.4</t>
  </si>
  <si>
    <t>Уплотнение сгонов с применением ленты ФУМ (без разборки сгонов) диаметром до 50 мм</t>
  </si>
  <si>
    <t>2.2.3.8.1</t>
  </si>
  <si>
    <t>Гидравлическое испытание теплообменника (водонагревателя)  поверхностью нагрева  до 16 кв.м</t>
  </si>
  <si>
    <t>1 теплообменник (бойлер)</t>
  </si>
  <si>
    <t>2.2.4</t>
  </si>
  <si>
    <t>Теплоизоляция сетей  горячего  водоснабжения</t>
  </si>
  <si>
    <t>2.2.5.1.1</t>
  </si>
  <si>
    <t>Окраска масляными составами ранее окрашенных поверхностей  стальных труб горячего водоснабжения за 1 раз</t>
  </si>
  <si>
    <t>100 м2 окрашиваемой поверхности</t>
  </si>
  <si>
    <t>2.2.5.1.2</t>
  </si>
  <si>
    <t>Окраска масляными составами ранее окрашенных поверхностей  стальных труб горячего водоснабжения за 2 раза</t>
  </si>
  <si>
    <t>2.2.6.1</t>
  </si>
  <si>
    <t>Смена вентилей и клапанов обратных муфтовых диаметром до 20 мм</t>
  </si>
  <si>
    <t>2.2.6.2</t>
  </si>
  <si>
    <t>Смена вентилей и клапанов обратных муфтовых диаметром до 32  мм</t>
  </si>
  <si>
    <t>2.2.6.3</t>
  </si>
  <si>
    <t>Смена вентилей и клапанов обратных муфтовых диаметром до 50  мм</t>
  </si>
  <si>
    <t>2.2.6.4</t>
  </si>
  <si>
    <t>Смена задвижек диаметром до 50 мм</t>
  </si>
  <si>
    <t>2.2.6.5</t>
  </si>
  <si>
    <t>Смена задвижек диаметром до 100 мм</t>
  </si>
  <si>
    <t>2.2.6.6</t>
  </si>
  <si>
    <t>Смена задвижек диаметром до 150 мм</t>
  </si>
  <si>
    <t>2.2.6.7</t>
  </si>
  <si>
    <t>Замена внутренних пожарных кранов</t>
  </si>
  <si>
    <t>2.3.1.1</t>
  </si>
  <si>
    <t>Смена горизонтальных участков трубопроводов канализации из полиэтиленовых труб высокой плотности диаметром 50 мм</t>
  </si>
  <si>
    <t>2.3.1.2</t>
  </si>
  <si>
    <t>Смена горизонтальных участков трубопроводов канализации из полиэтиленовых труб высокой плотности диаметром 100 мм</t>
  </si>
  <si>
    <t>2.3.1.3</t>
  </si>
  <si>
    <t>Смена вертикальных участков трубопроводов канализации из полиэтиленовых труб высокой плотности диаметром 50 мм</t>
  </si>
  <si>
    <t>2.3.1.4</t>
  </si>
  <si>
    <t>Смена вертикальных участков трубопроводов канализации из полиэтиленовых труб высокой плотности диаметром 100 мм</t>
  </si>
  <si>
    <t>2.3.1.5</t>
  </si>
  <si>
    <t>Смена вертикальных участков трубопроводов канализации из полиэтиленовых труб высокой плотности диаметром 150 мм</t>
  </si>
  <si>
    <t>2.3.2.1</t>
  </si>
  <si>
    <t>Смена отдельных участков  чугунных труб и внутренних чугунных канализационных выпусков при диаметре канализационного выпуска 50 мм</t>
  </si>
  <si>
    <t>2.3.2.2</t>
  </si>
  <si>
    <t>Смена отдельных участков чугунных труб и  внутренних чугунных канализационных выпусков при диаметре канализационного выпуска 100 мм</t>
  </si>
  <si>
    <t>2.3.2.3</t>
  </si>
  <si>
    <t>Смена отдельных участков чугунных труб и внутренних чугунных канализационных выпусков при диаметре канализационного выпуска 150 мм</t>
  </si>
  <si>
    <t>2.3.3.3.1</t>
  </si>
  <si>
    <t>Подчеканка раструбов чугунных  канализационных труб диаметром до 50 мм</t>
  </si>
  <si>
    <t>100  раструбов</t>
  </si>
  <si>
    <t>2.3.3.3.2</t>
  </si>
  <si>
    <t>Подчеканка раструбов чугунных  канализационных труб диаметром до 75 мм</t>
  </si>
  <si>
    <t>2.3.3.3.3</t>
  </si>
  <si>
    <t>Подчеканка раструбов  чугунных  канализационных труб диаметром до 100 мм</t>
  </si>
  <si>
    <t>2.3.3.3.4</t>
  </si>
  <si>
    <t>Подчеканка раструбов  чугунных  канализационных труб диаметром до 125 мм</t>
  </si>
  <si>
    <t>2.3.4</t>
  </si>
  <si>
    <t>Устранение засоров внутренних канализационных трубопроводов</t>
  </si>
  <si>
    <t>2.3.5</t>
  </si>
  <si>
    <t>Заделка стыков соединений стояков внутренних водостоков</t>
  </si>
  <si>
    <t>100 соединений</t>
  </si>
  <si>
    <t>2.3.6.1</t>
  </si>
  <si>
    <t>Смена трапа чугунного диаметром 50 мм</t>
  </si>
  <si>
    <t>100 трапов</t>
  </si>
  <si>
    <t>2.3.6.2</t>
  </si>
  <si>
    <t>Смена трапа чугунного диаметром 100 мм</t>
  </si>
  <si>
    <t>2.3.7</t>
  </si>
  <si>
    <t>Набивка сальников компенсационных патрубков на стояках внутренних водостоков</t>
  </si>
  <si>
    <t>100 патрубков</t>
  </si>
  <si>
    <t>2.3.8.1</t>
  </si>
  <si>
    <t>Очистка стальной щеткой старых чугунных труб и фасонных частей от нароста и грязи при диаметре трубопровода до 50 мм</t>
  </si>
  <si>
    <t>1 м трубопровода</t>
  </si>
  <si>
    <t>2.3.8.2</t>
  </si>
  <si>
    <t>Очистка стальной щеткой старых чугунных труб и фасонных частей от нароста и грязи при диаметре трубопровода до 75 мм</t>
  </si>
  <si>
    <t>2.3.8.3</t>
  </si>
  <si>
    <t>Очистка стальной щеткой старых чугунных труб и фасонных частей от нароста и грязи при диаметре трубопровода до 100 мм</t>
  </si>
  <si>
    <t>2.3.9.1</t>
  </si>
  <si>
    <t>Окраска масляными составами ранее окрашенных поверхностей  чугунных труб за 1 раз</t>
  </si>
  <si>
    <t>2.3.9.2</t>
  </si>
  <si>
    <t>Окраска масляными составами ранее окрашенных поверхностей  чугунных труб за 2 раза</t>
  </si>
  <si>
    <t>2.3.9.3</t>
  </si>
  <si>
    <t>Окраска масляными составами элементов трубопровода за 1 раз</t>
  </si>
  <si>
    <t>2.3.9.4</t>
  </si>
  <si>
    <t>Окраска масляными составами элементов трубопровода за 2 раза</t>
  </si>
  <si>
    <t>2.5.1.1</t>
  </si>
  <si>
    <t>Замена пакетных переключателей вводно-распределительных устройств и шкафов</t>
  </si>
  <si>
    <t>1 переключатель</t>
  </si>
  <si>
    <t>2.5.1.2</t>
  </si>
  <si>
    <t>Замена автоматического выключателя</t>
  </si>
  <si>
    <t>1 автоматический выключатель</t>
  </si>
  <si>
    <t>2.5.1.3</t>
  </si>
  <si>
    <t>Замена реле</t>
  </si>
  <si>
    <t>1 реле</t>
  </si>
  <si>
    <t>2.5.1.4</t>
  </si>
  <si>
    <t>Замена предохранителя</t>
  </si>
  <si>
    <t>1 предохранитель</t>
  </si>
  <si>
    <t>2.5.1.5</t>
  </si>
  <si>
    <t>Замена рубильника</t>
  </si>
  <si>
    <t>1 рубильник</t>
  </si>
  <si>
    <t>2.5.1.8</t>
  </si>
  <si>
    <t>Замена магнитного пускателя</t>
  </si>
  <si>
    <t>1 пускатель</t>
  </si>
  <si>
    <t>2.5.1.9</t>
  </si>
  <si>
    <t>Ремонт магнитного пускателя</t>
  </si>
  <si>
    <t>2.5.1.11</t>
  </si>
  <si>
    <t>Замена шкафов и ВРУ</t>
  </si>
  <si>
    <t>1 шкаф</t>
  </si>
  <si>
    <t>2.5.3.2</t>
  </si>
  <si>
    <t>Текущий ремонт электродвигателя</t>
  </si>
  <si>
    <t>1 двигатель</t>
  </si>
  <si>
    <t>2.5.3.4</t>
  </si>
  <si>
    <t>Техническое  обслуживание электрического  запирающего устройства (домофон)</t>
  </si>
  <si>
    <t>1 устройство</t>
  </si>
  <si>
    <t>2.5.3.5</t>
  </si>
  <si>
    <t>Замена электрического запирающего устройства (домофона)</t>
  </si>
  <si>
    <t>2.5.4</t>
  </si>
  <si>
    <t>Ремонт, замена  внутридомовых электрических сетей</t>
  </si>
  <si>
    <t>1000 пог.м.</t>
  </si>
  <si>
    <t>2.5.5.1</t>
  </si>
  <si>
    <t>Замена щитков</t>
  </si>
  <si>
    <t>1 щит</t>
  </si>
  <si>
    <t>2.5.5.2</t>
  </si>
  <si>
    <t>Ремонт щитков</t>
  </si>
  <si>
    <t>2.5.6.8</t>
  </si>
  <si>
    <t>Обслуживание однофазных счетчиков электроэнергии</t>
  </si>
  <si>
    <t>100 счетчиков</t>
  </si>
  <si>
    <t>2.5.6.9</t>
  </si>
  <si>
    <t>Обслуживание трехфазных счетчиков электроэнергии</t>
  </si>
  <si>
    <t>2.5.7.1</t>
  </si>
  <si>
    <t>Замена выключателя</t>
  </si>
  <si>
    <t>1 выключатель</t>
  </si>
  <si>
    <t>2.5.7.2</t>
  </si>
  <si>
    <t>Замена светильника с лампами накаливания или энергосберегающими лампами</t>
  </si>
  <si>
    <t>1 светильник</t>
  </si>
  <si>
    <t>2.5.7.3</t>
  </si>
  <si>
    <t>Замена светильника с люминесцентными лампами</t>
  </si>
  <si>
    <t>2.5.7.4</t>
  </si>
  <si>
    <t>Ремонт светильника с лампами накаливания или энергосберегающими лампами</t>
  </si>
  <si>
    <t>2.5.7.5</t>
  </si>
  <si>
    <t>Ремонт светильника с люминесцентными лампами</t>
  </si>
  <si>
    <t>2.5.7.6</t>
  </si>
  <si>
    <t>Замена лампы накаливания на энергосберегательную</t>
  </si>
  <si>
    <t>1 лампа</t>
  </si>
  <si>
    <t>2.5.7.7</t>
  </si>
  <si>
    <t>Замена люминесцентных ламп</t>
  </si>
  <si>
    <t>100 ламп</t>
  </si>
  <si>
    <t>2.5.9</t>
  </si>
  <si>
    <t>Ремонт штепсельных розеток и выключателей</t>
  </si>
  <si>
    <t>100 розеток (выключателей)</t>
  </si>
  <si>
    <t>2.5.10</t>
  </si>
  <si>
    <t>Смена розеток</t>
  </si>
  <si>
    <t>2.6.1.1</t>
  </si>
  <si>
    <t>Укрепление водосточных труб, колен, воронок с лестниц или подмостей</t>
  </si>
  <si>
    <t>1 ухват</t>
  </si>
  <si>
    <t>2.6.3.1</t>
  </si>
  <si>
    <t>Смена стекол на двойной замазке при размере фальцев 10х15 мм</t>
  </si>
  <si>
    <t>100 м фальца</t>
  </si>
  <si>
    <t>2.6.3.2</t>
  </si>
  <si>
    <t>Смена стекол на двойной замазке при размере фальцев 15х15 мм</t>
  </si>
  <si>
    <t>2.6.3.3</t>
  </si>
  <si>
    <t>Смена стекол на двойной замазке при размере фальцев 15х20 мм</t>
  </si>
  <si>
    <t>2.6.3.4</t>
  </si>
  <si>
    <t>Смена стекол на штапиках по замазке</t>
  </si>
  <si>
    <t>2.6.3.5</t>
  </si>
  <si>
    <t>Смена стекол на штапиках без замазки</t>
  </si>
  <si>
    <t>2.6.4</t>
  </si>
  <si>
    <t>Утепление бойлеров</t>
  </si>
  <si>
    <t xml:space="preserve">  1 м2 утепленного участка</t>
  </si>
  <si>
    <t>2.6.6.1</t>
  </si>
  <si>
    <t>Оштукатуривание продухов</t>
  </si>
  <si>
    <t xml:space="preserve">  1 м2 ремонтируемой поверхности</t>
  </si>
  <si>
    <t>2.6.6.2</t>
  </si>
  <si>
    <t>Перетирка штукатурки поверхностей</t>
  </si>
  <si>
    <t>2.6.6.3</t>
  </si>
  <si>
    <t>Окраска  продухов</t>
  </si>
  <si>
    <t>100 м2 ремонтируемой поверхности</t>
  </si>
  <si>
    <t>2.6.7</t>
  </si>
  <si>
    <t>Ремонт и утепление наружных водоразборных кранов и колонок</t>
  </si>
  <si>
    <t>100 колонок</t>
  </si>
  <si>
    <t>2.6.8.1</t>
  </si>
  <si>
    <t>Осмотр территории вокруг здания и фундамента</t>
  </si>
  <si>
    <t>1000 кв.м. общей площади</t>
  </si>
  <si>
    <t>2.6.8.2</t>
  </si>
  <si>
    <t>Осмотр кирпичных и железобетонных стен, фасадов</t>
  </si>
  <si>
    <t>2.6.8.3</t>
  </si>
  <si>
    <t>Осмотр деревянных стен, перегородок</t>
  </si>
  <si>
    <t>2.6.8.4</t>
  </si>
  <si>
    <t>Осмотр деревянных перекрытий</t>
  </si>
  <si>
    <t>2.6.8.5</t>
  </si>
  <si>
    <t>Осмотр деревянных покрытий, полов</t>
  </si>
  <si>
    <t>1000 кв.м. полов</t>
  </si>
  <si>
    <t>2.6.8.6</t>
  </si>
  <si>
    <t>Осмотр железобетонных перекрытий</t>
  </si>
  <si>
    <t>2.6.8.7</t>
  </si>
  <si>
    <t>Осмотр железобетонных покрытий</t>
  </si>
  <si>
    <t>2.6.8.8</t>
  </si>
  <si>
    <t>Осмотр внутренней отделки стен</t>
  </si>
  <si>
    <t>2.6.8.9</t>
  </si>
  <si>
    <t>Осмотр заполнения дверных и оконных проемов</t>
  </si>
  <si>
    <t>2.6.9.1</t>
  </si>
  <si>
    <t>Осмотр всех элементов стальных кровель, водостоков</t>
  </si>
  <si>
    <t>1000 кв.м. кровли</t>
  </si>
  <si>
    <t>2.6.9.2</t>
  </si>
  <si>
    <t>Осмотр всех элементов рулонных кровель, водостоков</t>
  </si>
  <si>
    <t>2.6.9.3</t>
  </si>
  <si>
    <t>Осмотр всех элементов кровель из штучных материалов, водостоков</t>
  </si>
  <si>
    <t>2.6.10</t>
  </si>
  <si>
    <t>Осмотр системы мусороудаления</t>
  </si>
  <si>
    <t>100 пог.м. мусоропровода</t>
  </si>
  <si>
    <t>2.6.11.1</t>
  </si>
  <si>
    <t>Осмотр водопровода, канализации и горячего водоснабжения</t>
  </si>
  <si>
    <t>100 квартир</t>
  </si>
  <si>
    <t>2.6.11.2</t>
  </si>
  <si>
    <t>Промывка участка водопровода</t>
  </si>
  <si>
    <t>100 куб.м. здания</t>
  </si>
  <si>
    <t>2.6.11.3</t>
  </si>
  <si>
    <t>Прочистка канализационного лежака</t>
  </si>
  <si>
    <t>100 м канализационного лежака</t>
  </si>
  <si>
    <t>2.6.11.4</t>
  </si>
  <si>
    <t>Проверка исправности  канализационных  вытяжек</t>
  </si>
  <si>
    <t>2.6.13.1</t>
  </si>
  <si>
    <t>Осмотр  электросети, арматуры, электрооборудования на лестничных клетках</t>
  </si>
  <si>
    <t>100 лестничных площадок</t>
  </si>
  <si>
    <t>2.6.13.2</t>
  </si>
  <si>
    <t>Осмотр  силовых установок</t>
  </si>
  <si>
    <t>1 электромотор</t>
  </si>
  <si>
    <t>2.6.13.3</t>
  </si>
  <si>
    <t>Проверка изоляции электропроводки и ее укрепление</t>
  </si>
  <si>
    <t>2.6.13.4</t>
  </si>
  <si>
    <t>Проверка заземления оболочки электрокабеля</t>
  </si>
  <si>
    <t>2.6.13.5</t>
  </si>
  <si>
    <t>Замеры сопротивления изоляции проводов</t>
  </si>
  <si>
    <t xml:space="preserve">измерение 1         </t>
  </si>
  <si>
    <t>2.6.14.1.1</t>
  </si>
  <si>
    <t>Осмотр внутриквартирных устройств системы центрального отопления</t>
  </si>
  <si>
    <t>2.6.14.1.2</t>
  </si>
  <si>
    <t>Осмотр устройства системы центрального отопления в чердачных и подвальных помещениях</t>
  </si>
  <si>
    <t>1000 м2 осматриваемых помещений</t>
  </si>
  <si>
    <t>2.6.14.2</t>
  </si>
  <si>
    <t>Регулировка и наладка систем отопления</t>
  </si>
  <si>
    <t>1 здание</t>
  </si>
  <si>
    <t>2.6.14.3.1</t>
  </si>
  <si>
    <t>Первое рабочее испытание отдельных частей системы при диаметре трубопровода до 50 мм</t>
  </si>
  <si>
    <t>2.6.14.3.2</t>
  </si>
  <si>
    <t>Рабочая проверка системы в целом при диаметре трубопровода до 50 мм</t>
  </si>
  <si>
    <t>2.6.14.3.3</t>
  </si>
  <si>
    <t>Окончательная проверка при сдаче системы при диаметре трубопровода до 50 мм</t>
  </si>
  <si>
    <t>2.6.14.3.10</t>
  </si>
  <si>
    <t>Проверка на прогрев отопительных приборов с регулировкой</t>
  </si>
  <si>
    <t>2.6.14.4.1</t>
  </si>
  <si>
    <t>Промывка трубопроводов системы центрального отопления до 50 мм</t>
  </si>
  <si>
    <t>10 м трубопровода (100 м3 здания)</t>
  </si>
  <si>
    <t>2.6.14.5.1.1</t>
  </si>
  <si>
    <t>Притирка пробочного крана диаметром до 25 мм без снятия с места</t>
  </si>
  <si>
    <t>2.6.14.5.1.2</t>
  </si>
  <si>
    <t>Притирка пробочного крана диаметром 26-32 мм без снятия с места</t>
  </si>
  <si>
    <t>2.6.14.5.1.3</t>
  </si>
  <si>
    <t>Притирка пробочного крана диаметром 33-50 мм без снятия с места</t>
  </si>
  <si>
    <t>2.6.14.5.1.4</t>
  </si>
  <si>
    <t>Притирка клапана вентиля диаметром до 25 мм без снятия с места</t>
  </si>
  <si>
    <t>2.6.14.5.1.5</t>
  </si>
  <si>
    <t>Притирка клапана вентиля диаметром 26-32 мм без снятия с места</t>
  </si>
  <si>
    <t>2.6.14.5.1.6</t>
  </si>
  <si>
    <t>Притирка клапана вентиля диаметром 33-50 мм без снятия с места</t>
  </si>
  <si>
    <t>2.6.14.5.2</t>
  </si>
  <si>
    <t>Укрепление крючков для труб и приборов центрального отопления</t>
  </si>
  <si>
    <t>1 крепление</t>
  </si>
  <si>
    <t>2.6.14.5.3</t>
  </si>
  <si>
    <t>Вывертывание и ввертывание радиаторной пробки</t>
  </si>
  <si>
    <t>100 пробок</t>
  </si>
  <si>
    <t>2.6.14.5.4.1</t>
  </si>
  <si>
    <t>Перегруппировка секций старого радиатора при весе радиатора до 240 кг</t>
  </si>
  <si>
    <t>2.6.14.5.4.2</t>
  </si>
  <si>
    <t>На каждую следующую секцию сверх первой добавлять</t>
  </si>
  <si>
    <t>2.6.14.5.5.1</t>
  </si>
  <si>
    <t>Ликвидация воздушных пробок в стояке системы отопления</t>
  </si>
  <si>
    <t>100 стояков</t>
  </si>
  <si>
    <t>2.6.14.5.5.2</t>
  </si>
  <si>
    <t>Ликвидация воздушных пробок в радиаторном блоке</t>
  </si>
  <si>
    <t>2.6.14.5.6</t>
  </si>
  <si>
    <t>Ремонт кранов регулировки у радиаторных блоков</t>
  </si>
  <si>
    <t>2.6.14.5.7.1</t>
  </si>
  <si>
    <t>Мелкий ремонт изоляции трубопроводов при диаметре 50 мм</t>
  </si>
  <si>
    <t>2.6.14.5.7.2</t>
  </si>
  <si>
    <t>Мелкий ремонт изоляции трубопроводов при диаметре 75 мм</t>
  </si>
  <si>
    <t>2.6.14.5.7.3</t>
  </si>
  <si>
    <t>Мелкий ремонт изоляции трубопроводов при диаметре 100 мм</t>
  </si>
  <si>
    <t>2.6.15.1.1</t>
  </si>
  <si>
    <t>Визуальный осмотр узла учета и проверка наличия и нарушения пломб (прибор учета воды диаметром 25-40 мм)</t>
  </si>
  <si>
    <t>1 прибор учета</t>
  </si>
  <si>
    <t>2.6.15.1.2</t>
  </si>
  <si>
    <t>Снятие и запись показаний с вычислителя в журнал (прибор учета воды диаметром 25-40 мм)</t>
  </si>
  <si>
    <t>2.6.15.1.3</t>
  </si>
  <si>
    <t>Составление акта (при нарушении правил эксплуатации прибора учета воды диаметром 25-40 мм) с представителями абонента и поставщиком</t>
  </si>
  <si>
    <t>2.6.15.1.4</t>
  </si>
  <si>
    <t>Проверка работоспособности запорной арматуры и очистка фильтров (приборов учета воды диаметром 25-40 мм)</t>
  </si>
  <si>
    <t>1 фильтр</t>
  </si>
  <si>
    <t>2.6.15.1.5</t>
  </si>
  <si>
    <t>Установка фильтра для очистки воды (приборов учета воды диаметром 25-40 мм)</t>
  </si>
  <si>
    <t>2.6.15.1.6</t>
  </si>
  <si>
    <t>Запуск воды с общего вентиля к счетчику (приборов учета воды диаметром 25-40 мм)</t>
  </si>
  <si>
    <t>2.6.15.1.7</t>
  </si>
  <si>
    <t>При отказе или неисправной работе прибора учета воды диаметром 25-40 мм - поиск неисправностей</t>
  </si>
  <si>
    <t>2.6.15.1.8</t>
  </si>
  <si>
    <t>Проверка работоспособности водозапорной арматуры приборов учета воды диаметром 25-40 мм</t>
  </si>
  <si>
    <t>2.6.15.3.1</t>
  </si>
  <si>
    <t>Визуальный осмотр и проверка наличия и нарушения пломб (узел учета тепловой энергии диаметром 25-40 мм)</t>
  </si>
  <si>
    <t>1 узел учета</t>
  </si>
  <si>
    <t>2.6.15.3.2</t>
  </si>
  <si>
    <t>Снятие и запись показаний с вычислителя в журнал (узел учета тепловой энергии диаметром 25-40 мм)</t>
  </si>
  <si>
    <t>2.6.15.3.3</t>
  </si>
  <si>
    <t>Составление акта (при нарушении правил эксплуатации прибора) (узел учета тепловой энергии диаметром 25-40 мм)</t>
  </si>
  <si>
    <t>2.6.15.3.4</t>
  </si>
  <si>
    <t>Проверка работоспособности запорной арматуры и очистка фильтра (узел учета тепловой энергии диаметром 25-40 мм)</t>
  </si>
  <si>
    <t>2.6.15.3.5</t>
  </si>
  <si>
    <t>Установка фильтра для очистки теплоносителя (узел учета тепловой энергии диаметром 25-40 мм)</t>
  </si>
  <si>
    <t>2.6.15.3.6</t>
  </si>
  <si>
    <t>Запуск воды с общего вентиля к счетчику (узел учета тепловой энергии диаметром 25-40 мм)</t>
  </si>
  <si>
    <t>2.6.15.3.7</t>
  </si>
  <si>
    <t>При отказе или неисправной работе теплосчетчика - поиск неисправностей (узел учета тепловой энергии диаметром 25-40 мм)</t>
  </si>
  <si>
    <t>2.6.15.3.8.1</t>
  </si>
  <si>
    <t>Проверка работоспособности водозапорной арматуры (выборочная метрологическая поверка теплосчетчиков диаметром 25-40 мм)</t>
  </si>
  <si>
    <t>2.6.15.3.8.2</t>
  </si>
  <si>
    <t>Профилактические работы (выборочная метрологическая поверка теплосчетчиков диаметром 25-40 мм)</t>
  </si>
  <si>
    <t>2.6.15.3.8.4</t>
  </si>
  <si>
    <t>Съем данных с тепловычислителя с помощью переносного компьютера, адаптера (выборочная метрологическая поверка теплосчетчиков диаметром 25-40 мм)</t>
  </si>
  <si>
    <t>2.6.15.3.8.5</t>
  </si>
  <si>
    <t>Обсчет данных, оформление справок, распечатка архивов данных (выборочная метрологическая поверка теплосчетчиков диаметром 25-40 мм)</t>
  </si>
  <si>
    <t>2.6.15.5.1</t>
  </si>
  <si>
    <t>Снятие (демонтаж) прибора учета тепловой энергии, диаметром до 50 мм</t>
  </si>
  <si>
    <t>2.6.15.5.2</t>
  </si>
  <si>
    <t>Установка (монтаж) прибора учета тепловой энергии, диаметром до 50 мм</t>
  </si>
  <si>
    <t>2.7.1.1</t>
  </si>
  <si>
    <t>Устранение аварии на внутридомовых инженерных сетях при сроке эксплуатации многоквартирного дома до 10 лет</t>
  </si>
  <si>
    <t>1000 м2  общей площади жилых помещений, оборудованных газовыми плитами (в год для одной смены)</t>
  </si>
  <si>
    <t>2.7.1.2</t>
  </si>
  <si>
    <t>Устранение аварии на внутридомовых инженерных сетях при сроке эксплуатации многоквартирного дома от 11 до 30  лет</t>
  </si>
  <si>
    <t>2.7.1.3</t>
  </si>
  <si>
    <t>Устранение аварии на внутридомовых инженерных сетях при сроке эксплуатации многоквартирного дома от 31 до 50 лет</t>
  </si>
  <si>
    <t>2.7.1.4</t>
  </si>
  <si>
    <t>Устранение аварии на внутридомовых инженерных сетях при сроке эксплуатации многоквартирного дома от 51 до 70 лет</t>
  </si>
  <si>
    <t>2.7.1.5</t>
  </si>
  <si>
    <t>Устранение аварии на внутридомовых инженерных сетях при сроке эксплуатации многоквартирного дома более 70 лет</t>
  </si>
  <si>
    <t>2.7.2.1</t>
  </si>
  <si>
    <t>1000 м2  общей площади жилых помещений, не оборудованных газовыми плитами (в год для одной смены)</t>
  </si>
  <si>
    <t>2.7.2.2</t>
  </si>
  <si>
    <t>2.7.2.3</t>
  </si>
  <si>
    <t>2.9.1</t>
  </si>
  <si>
    <t>Окраска ковшей мусоропровода</t>
  </si>
  <si>
    <t>2.9.2</t>
  </si>
  <si>
    <t>Замена отдельных элементов загрузочных клапанов</t>
  </si>
  <si>
    <t>1 клапан</t>
  </si>
  <si>
    <t>2.9.3</t>
  </si>
  <si>
    <t>Устранение мелких неисправностей мусоропровода</t>
  </si>
  <si>
    <t>1 м мусоропровода</t>
  </si>
  <si>
    <t>2.9.4</t>
  </si>
  <si>
    <t>Окраска ствола мусоропровода</t>
  </si>
  <si>
    <t>3.1.2.1.1.1</t>
  </si>
  <si>
    <t>Удаление мусора из мусороприемных камер с бункерами, расположенных на 1-ом этаже в домах до  10 этажей</t>
  </si>
  <si>
    <t>1 м3  ТБО</t>
  </si>
  <si>
    <t>3.1.2.1.2.1</t>
  </si>
  <si>
    <t>Влажное подметание пола мусороприемных камер, расположенных на 1-ом этаже,  в домах  до 10 этажей</t>
  </si>
  <si>
    <t xml:space="preserve">100 м2  площади мусороприемных камер  </t>
  </si>
  <si>
    <t>3.1.2.1.2.2</t>
  </si>
  <si>
    <t>Влажное подметание пола мусороприемных камер в 11-ти и более этажных домах или при наличии мусороприемных камер и мусороприемников в подвальных помещениях и цокольных этажах</t>
  </si>
  <si>
    <t>3.1.2.1.3.1</t>
  </si>
  <si>
    <t>Уборка в домах до 10 этажей мусороприемных камер, расположенных на 1-ом этаже,  облицованных кафельной плиткой, без шланга</t>
  </si>
  <si>
    <t>3.1.2.1.3.2</t>
  </si>
  <si>
    <t>Уборка в 11-ти и более этажных домах мусороприемных камер, облицованных кафельной плиткой,  расположенных в подвальных помещениях и цокольных этажах, без шланга</t>
  </si>
  <si>
    <t>3.1.2.3.1</t>
  </si>
  <si>
    <t>Дезинфекция всех элементов ствола мусоропровода с помощью ершей с ручными лебедками</t>
  </si>
  <si>
    <t>100 м мусоропровода</t>
  </si>
  <si>
    <t>3.1.2.3.2</t>
  </si>
  <si>
    <t>Дезинфекция всех элементов ствола мусоропровода вручную</t>
  </si>
  <si>
    <t>3.1.5.1</t>
  </si>
  <si>
    <t>Подметание  чердаков и подвалов без предварительного увлажнения</t>
  </si>
  <si>
    <t>100 м2 чердаков и подвалов</t>
  </si>
  <si>
    <t>3.1.5.2.1</t>
  </si>
  <si>
    <t>Уборка мусора и транспортировкой мусора до 50 м</t>
  </si>
  <si>
    <t>1 м3  мусора</t>
  </si>
  <si>
    <t>3.1.5.2.2</t>
  </si>
  <si>
    <t>Уборка мусора и транспортировкой мусора до 100 м</t>
  </si>
  <si>
    <t>3.1.5.3</t>
  </si>
  <si>
    <t>Очистка чердаков  и подвалов от строительного мусора</t>
  </si>
  <si>
    <t>100 кг строительного мусора</t>
  </si>
  <si>
    <t>3.1.6.1</t>
  </si>
  <si>
    <t>Установка флагов во флагштоки</t>
  </si>
  <si>
    <t>1 флаг</t>
  </si>
  <si>
    <t>3.1.6.2</t>
  </si>
  <si>
    <t>Художественное раскрашивание  фасадов  зданий и площадок</t>
  </si>
  <si>
    <t>100 м2  раскрашиваемой поверхности</t>
  </si>
  <si>
    <t>3.1.6.3</t>
  </si>
  <si>
    <t>Протирка  номерных фонарей</t>
  </si>
  <si>
    <t>10 фонарей</t>
  </si>
  <si>
    <t>3.1.6.4</t>
  </si>
  <si>
    <t>Протирка  номерных указателей</t>
  </si>
  <si>
    <t>10 указателей</t>
  </si>
  <si>
    <t>3.1.8.1.1</t>
  </si>
  <si>
    <t>3.1.8.1.2</t>
  </si>
  <si>
    <t>Известковое окрашивание оштукатуренных  фасадов с рустами  и орнаментированных</t>
  </si>
  <si>
    <t>3.1.8.3.1</t>
  </si>
  <si>
    <t>Окрашивание гладких  кирпичных фасадов известковыми  составами</t>
  </si>
  <si>
    <t>3.1.8.3.2</t>
  </si>
  <si>
    <t>Клеевая окраска гладких  кирпичных фасадов известковыми  составами</t>
  </si>
  <si>
    <t>3.2.1.1</t>
  </si>
  <si>
    <t>Подметание в летний период  земельного участка с усовершенствованным покрытием 1 класса</t>
  </si>
  <si>
    <t>1 000 кв.м. территории</t>
  </si>
  <si>
    <t>3.2.1.2</t>
  </si>
  <si>
    <t>Подметание в летний период  земельного участка с усовершенствованным покрытием 2 класса</t>
  </si>
  <si>
    <t>3.2.1.3</t>
  </si>
  <si>
    <t>Подметание в летний период  земельного участка с усовершенствованным покрытием 3 класса</t>
  </si>
  <si>
    <t>3.2.1.4</t>
  </si>
  <si>
    <t>Подметание в летний период  земельного участка с неусовершенствованным покрытием 1 класса</t>
  </si>
  <si>
    <t>3.2.1.5</t>
  </si>
  <si>
    <t>Подметание в летний период  земельного участка с неусовершенствованным покрытием 2 класса</t>
  </si>
  <si>
    <t>3.2.1.6</t>
  </si>
  <si>
    <t>Подметание в летний период  земельного участка с неусовершенствованным покрытием 3 класса</t>
  </si>
  <si>
    <t>3.2.1.7</t>
  </si>
  <si>
    <t>Подметание в летний период  земельного участка без покрытия 1 класса</t>
  </si>
  <si>
    <t>3.2.1.8</t>
  </si>
  <si>
    <t>Подметание в летний период  земельного участка без покрытия 2 класса</t>
  </si>
  <si>
    <t>3.2.1.9</t>
  </si>
  <si>
    <t>Подметание в летний период  земельного участка без покрытия 3 класса</t>
  </si>
  <si>
    <t>3.2.2.1</t>
  </si>
  <si>
    <t>Полив тротуаров 1 класса</t>
  </si>
  <si>
    <t>100 000 кв.м. территории</t>
  </si>
  <si>
    <t>3.2.2.2</t>
  </si>
  <si>
    <t>Полив тротуаров 2 класса</t>
  </si>
  <si>
    <t>3.2.2.3</t>
  </si>
  <si>
    <t>Полив тротуаров 3 класса</t>
  </si>
  <si>
    <t>3.2.3.1.1</t>
  </si>
  <si>
    <t>Уборка газонов средней засоренности от листьев, сучьев, мусора</t>
  </si>
  <si>
    <t>3.2.3.1.3</t>
  </si>
  <si>
    <t>Уборка газонов от случайного мусора</t>
  </si>
  <si>
    <t>100 000 м2</t>
  </si>
  <si>
    <t>3.2.3.1.4</t>
  </si>
  <si>
    <t>Полив газонов</t>
  </si>
  <si>
    <t>на 100 000 кв.м.</t>
  </si>
  <si>
    <t>3.2.3.1.5</t>
  </si>
  <si>
    <t>Стрижка газонов</t>
  </si>
  <si>
    <t>на 100 кв.м.</t>
  </si>
  <si>
    <t>3.2.3.2.10</t>
  </si>
  <si>
    <t>Очистка опрокидывающихся урн от мусора</t>
  </si>
  <si>
    <t>на 100 урн</t>
  </si>
  <si>
    <t>3.2.4.1</t>
  </si>
  <si>
    <t>Формовочная обрезка деревьев высотой более 5 м</t>
  </si>
  <si>
    <t>100 деревьев</t>
  </si>
  <si>
    <t>3.2.4.2</t>
  </si>
  <si>
    <t>Вырезка сухих ветвей и поросли</t>
  </si>
  <si>
    <t>3.2.4.3</t>
  </si>
  <si>
    <t>Обрезка под естественный вид крон деревьев с использованием вышки</t>
  </si>
  <si>
    <t>3.2.4.4</t>
  </si>
  <si>
    <t>Формирование кроны кустарников</t>
  </si>
  <si>
    <t>1000 кустов</t>
  </si>
  <si>
    <t>3.2.4.5</t>
  </si>
  <si>
    <t>Обрезка под естественный вид крон кустарников</t>
  </si>
  <si>
    <t>3.2.4.6</t>
  </si>
  <si>
    <t>Стрижка живой изгороди</t>
  </si>
  <si>
    <t>1000 кв.м.</t>
  </si>
  <si>
    <t>3.2.5.1</t>
  </si>
  <si>
    <t>Уборка детских и спортивных площадок</t>
  </si>
  <si>
    <t>3.2.5.2.1</t>
  </si>
  <si>
    <t>Окраска скамьи без спинки с металлическими опорами</t>
  </si>
  <si>
    <t>скамья</t>
  </si>
  <si>
    <t>3.2.5.2.2</t>
  </si>
  <si>
    <t>Окраска скамьи без спинки с бетонными опорами</t>
  </si>
  <si>
    <t>3.2.5.2.3</t>
  </si>
  <si>
    <t>Окраска скамьи чугунной со спинкой</t>
  </si>
  <si>
    <t>3.2.5.2.4</t>
  </si>
  <si>
    <t>Окраска качелей-маятника</t>
  </si>
  <si>
    <t>качели</t>
  </si>
  <si>
    <t>3.2.5.2.5</t>
  </si>
  <si>
    <t>Окраска качелей-балансира</t>
  </si>
  <si>
    <t>3.2.5.2.6</t>
  </si>
  <si>
    <t>Окраска поверхности песочницы</t>
  </si>
  <si>
    <t>песочница</t>
  </si>
  <si>
    <t>3.2.5.2.7</t>
  </si>
  <si>
    <t>Окраска лианы 3-х секционной</t>
  </si>
  <si>
    <t>лиана</t>
  </si>
  <si>
    <t>3.2.5.2.8</t>
  </si>
  <si>
    <t>Окраска лестницы</t>
  </si>
  <si>
    <t>лестница</t>
  </si>
  <si>
    <t>3.2.5.2.9</t>
  </si>
  <si>
    <t>Окраска турника</t>
  </si>
  <si>
    <t>турник</t>
  </si>
  <si>
    <t>3.2.5.2.10</t>
  </si>
  <si>
    <t>Окраска хоккейных ворот</t>
  </si>
  <si>
    <t>ворота</t>
  </si>
  <si>
    <t>3.2.5.2.11</t>
  </si>
  <si>
    <t>Окраска футбольных ворот</t>
  </si>
  <si>
    <t>3.2.5.2.12</t>
  </si>
  <si>
    <t>Окраска металлических ограждений спортивных площадок</t>
  </si>
  <si>
    <t xml:space="preserve">пог.м. </t>
  </si>
  <si>
    <t>3.2.5.2.13</t>
  </si>
  <si>
    <t>Окраска деревянных ограждений спортивных площадок</t>
  </si>
  <si>
    <t>3.2.5.3.1</t>
  </si>
  <si>
    <t>Ремонт скамьи без спинки с металлическими опорами</t>
  </si>
  <si>
    <t>3.2.5.3.2</t>
  </si>
  <si>
    <t>Ремонт скамьи без спинки с бетонными опорами</t>
  </si>
  <si>
    <t>3.2.5.3.3</t>
  </si>
  <si>
    <t>Ремонт качелей-маятника</t>
  </si>
  <si>
    <t>3.2.5.3.4</t>
  </si>
  <si>
    <t>Ремонт качелей-балансира</t>
  </si>
  <si>
    <t>3.2.5.3.5</t>
  </si>
  <si>
    <t>Ремонт песочницы</t>
  </si>
  <si>
    <t>3.2.5.3.6</t>
  </si>
  <si>
    <t>Ремонт лианы 3-х секционной</t>
  </si>
  <si>
    <t>3.2.5.3.7</t>
  </si>
  <si>
    <t>Ремонт лестницы</t>
  </si>
  <si>
    <t>3.2.5.3.8</t>
  </si>
  <si>
    <t>Ремонт турника</t>
  </si>
  <si>
    <t>3.2.5.3.9</t>
  </si>
  <si>
    <t>Ремонт хоккейных ворот</t>
  </si>
  <si>
    <t>3.2.5.3.10</t>
  </si>
  <si>
    <t>Ремонт футбольных ворот</t>
  </si>
  <si>
    <t>3.2.5.3.11</t>
  </si>
  <si>
    <t>Ремонт металлических ограждений спортивных площадок</t>
  </si>
  <si>
    <t>пог.м заменяемого участка</t>
  </si>
  <si>
    <t>3.2.5.3.12</t>
  </si>
  <si>
    <t>Ремонт деревянных ограждений спортивных площадок</t>
  </si>
  <si>
    <t>100 пог.м заменяемого участка</t>
  </si>
  <si>
    <t>3.2.5.4</t>
  </si>
  <si>
    <t>Заполнение песочницы песком</t>
  </si>
  <si>
    <t>3.2.6.1</t>
  </si>
  <si>
    <t>Сдвижка и подметание снега при отсутствии снегопада на придомовой территории с усовершенствованным покрытием 1 класса</t>
  </si>
  <si>
    <t>10 000 кв.м. территории</t>
  </si>
  <si>
    <t>3.2.6.2</t>
  </si>
  <si>
    <t>Сдвижка и подметание снега при отсутствии снегопада на придомовой территории с усовершенствованным покрытием 2 класса</t>
  </si>
  <si>
    <t>3.2.6.3</t>
  </si>
  <si>
    <t>Сдвижка и подметание снега при отсутствии снегопада на придомовой территории с усовершенствованным покрытием 3 класса</t>
  </si>
  <si>
    <t>3.2.8.1</t>
  </si>
  <si>
    <t>Очистка территории с усовершенствованным покрытием 1 класса от наледи без обработки противогололедными реагентами</t>
  </si>
  <si>
    <t>3.2.8.2</t>
  </si>
  <si>
    <t>Очистка территории с усовершенствованным покрытием 2 класса от наледи без обработки противогололедными реагентами</t>
  </si>
  <si>
    <t>3.2.8.3</t>
  </si>
  <si>
    <t>Очистка территории с усовершенствованным покрытием 3 класса от наледи без обработки противогололедными реагентами</t>
  </si>
  <si>
    <t>3.2.8.7</t>
  </si>
  <si>
    <t>Подготовка смеси песка с хлоридами</t>
  </si>
  <si>
    <t>1 куб. м</t>
  </si>
  <si>
    <t>3.2.8.8</t>
  </si>
  <si>
    <t>Посыпка территории I класса</t>
  </si>
  <si>
    <t>3.2.8.9</t>
  </si>
  <si>
    <t>Посыпка территории II класса</t>
  </si>
  <si>
    <t>3.2.8.10</t>
  </si>
  <si>
    <t>Посыпка территории III класса</t>
  </si>
  <si>
    <t>3.2.9.1</t>
  </si>
  <si>
    <t>Очистка кровли от снега, сбивание сосулек (при толщине слоя до 10 см)</t>
  </si>
  <si>
    <t>100 кв.м. кровли</t>
  </si>
  <si>
    <t>3.2.9.4</t>
  </si>
  <si>
    <t>Очистка кровли от мусора, листьев</t>
  </si>
  <si>
    <t>100 кв.м кровли</t>
  </si>
  <si>
    <t>3.2.11</t>
  </si>
  <si>
    <t>Уборка крыльца и площадки перед входом в подъезд (в холодный период года)</t>
  </si>
  <si>
    <t>3.2.12</t>
  </si>
  <si>
    <t>Уборка крыльца и площадки перед входом в подъезд (в теплый период года)</t>
  </si>
  <si>
    <t>3.2.13</t>
  </si>
  <si>
    <t>Очистка металлической решетки и приямка (в теплый период)</t>
  </si>
  <si>
    <t>1 приямок</t>
  </si>
  <si>
    <t>3.2.14</t>
  </si>
  <si>
    <t>Очистка контейнерной площадки в холодный период</t>
  </si>
  <si>
    <t>3.2.15</t>
  </si>
  <si>
    <t>Уборка мусора на  контейнерных  площадках</t>
  </si>
  <si>
    <t>3.2.16</t>
  </si>
  <si>
    <t>Погрузка мусора на автотранспорт вручную</t>
  </si>
  <si>
    <t>100 куб.м</t>
  </si>
  <si>
    <t>3.2.17</t>
  </si>
  <si>
    <t>Прочистка водоприемной воронки внутреннего водостока</t>
  </si>
  <si>
    <t>1 воронка</t>
  </si>
  <si>
    <t>3.3.1.1</t>
  </si>
  <si>
    <t>Текущий ремонт ограждений газона</t>
  </si>
  <si>
    <t>3.3.1.2</t>
  </si>
  <si>
    <t>Покраска ограждений газона</t>
  </si>
  <si>
    <t>3.3.1.3</t>
  </si>
  <si>
    <t>Ремонт газонов</t>
  </si>
  <si>
    <t>м2 ремонтируемой площади газонов</t>
  </si>
  <si>
    <t>3.3.1.4</t>
  </si>
  <si>
    <t>Ремонт цветников</t>
  </si>
  <si>
    <t>м2</t>
  </si>
  <si>
    <t>3.3.1.5</t>
  </si>
  <si>
    <t>Ремонт асфальтобетонного покрытия проездов</t>
  </si>
  <si>
    <t>3.3.1.6</t>
  </si>
  <si>
    <t>Ремонт тротуаров</t>
  </si>
  <si>
    <t>10 м2</t>
  </si>
  <si>
    <t>3.3.1.7</t>
  </si>
  <si>
    <t>Ремонт бордюров</t>
  </si>
  <si>
    <t>10 пог.м.</t>
  </si>
  <si>
    <t>3.3.2.1</t>
  </si>
  <si>
    <t>Устройство газона</t>
  </si>
  <si>
    <t>3.3.2.2</t>
  </si>
  <si>
    <t>Устройство цветников</t>
  </si>
  <si>
    <t>3.3.2.3</t>
  </si>
  <si>
    <t>Установка скамьи с металлическими опорами</t>
  </si>
  <si>
    <t>3.3.2.4</t>
  </si>
  <si>
    <t>Установка скамьи с бетонными опорами</t>
  </si>
  <si>
    <t>3.3.2.5</t>
  </si>
  <si>
    <t>Установка скамьи чугунной со спинкой</t>
  </si>
  <si>
    <t>3.3.2.6</t>
  </si>
  <si>
    <t>Установка качелей-маятника</t>
  </si>
  <si>
    <t>3.3.2.7</t>
  </si>
  <si>
    <t>Установка качелей-балансира</t>
  </si>
  <si>
    <t>3.3.2.8</t>
  </si>
  <si>
    <t>Устройство песочницы</t>
  </si>
  <si>
    <t>3.3.2.9</t>
  </si>
  <si>
    <t>Установка лианы 3-х секционной</t>
  </si>
  <si>
    <t>3.3.2.10</t>
  </si>
  <si>
    <t>Установка лестницы</t>
  </si>
  <si>
    <t>3.3.2.11</t>
  </si>
  <si>
    <t>Установка турника</t>
  </si>
  <si>
    <t>3.3.2.12</t>
  </si>
  <si>
    <t>Установка металлических ограждений спортивных площадок</t>
  </si>
  <si>
    <t>3.3.2.13</t>
  </si>
  <si>
    <t>Установка деревянных ограждений спортивных площадок</t>
  </si>
  <si>
    <t>3.3.2.14</t>
  </si>
  <si>
    <t>Посадка кустарника</t>
  </si>
  <si>
    <t>кустарник</t>
  </si>
  <si>
    <t>3.3.2.15</t>
  </si>
  <si>
    <t>Посадка дерева</t>
  </si>
  <si>
    <t>3.4.5.6</t>
  </si>
  <si>
    <t>Ремонт окрасочной гидроизоляции цоколя (при приготовлении  мастики)</t>
  </si>
  <si>
    <t>100 м2 окрасочной поверхности</t>
  </si>
  <si>
    <t>ИТОГО:</t>
  </si>
  <si>
    <t>Цена за ед.изм.</t>
  </si>
  <si>
    <t>Примечание: расценка может быть откорректирована на стоимость материалов</t>
  </si>
  <si>
    <t>Стоимость работ и услуг на 2023 год</t>
  </si>
</sst>
</file>

<file path=xl/styles.xml><?xml version="1.0" encoding="utf-8"?>
<styleSheet xmlns="http://schemas.openxmlformats.org/spreadsheetml/2006/main">
  <numFmts count="1">
    <numFmt numFmtId="164" formatCode="#\ ###\ ##0.00"/>
  </numFmts>
  <fonts count="10">
    <font>
      <sz val="11"/>
      <color theme="1"/>
      <name val="Calibri"/>
      <family val="2"/>
      <scheme val="minor"/>
    </font>
    <font>
      <sz val="9"/>
      <name val="Calibri"/>
    </font>
    <font>
      <sz val="10"/>
      <name val="Calibri"/>
    </font>
    <font>
      <sz val="12"/>
      <name val="Calibri"/>
    </font>
    <font>
      <b/>
      <sz val="9"/>
      <color rgb="FFFFFFFF"/>
      <name val="Calibri"/>
    </font>
    <font>
      <b/>
      <sz val="18"/>
      <color rgb="FF000099"/>
      <name val="Calibri"/>
    </font>
    <font>
      <b/>
      <sz val="11"/>
      <color rgb="FFFFFFFF"/>
      <name val="Calibri"/>
    </font>
    <font>
      <b/>
      <sz val="10"/>
      <color rgb="FFFFFFFF"/>
      <name val="Calibri"/>
    </font>
    <font>
      <b/>
      <sz val="12"/>
      <color indexed="8"/>
      <name val="Arial"/>
      <family val="2"/>
      <charset val="204"/>
    </font>
    <font>
      <b/>
      <sz val="18"/>
      <color rgb="FF000099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546E7A"/>
      </patternFill>
    </fill>
    <fill>
      <patternFill patternType="solid">
        <fgColor rgb="FFF9F7ED"/>
      </patternFill>
    </fill>
    <fill>
      <patternFill patternType="solid">
        <fgColor rgb="FFF5F2E0"/>
      </patternFill>
    </fill>
    <fill>
      <patternFill patternType="solid">
        <fgColor rgb="FFEBF1DE"/>
      </patternFill>
    </fill>
  </fills>
  <borders count="11">
    <border>
      <left/>
      <right/>
      <top/>
      <bottom/>
      <diagonal/>
    </border>
    <border>
      <left style="thick">
        <color rgb="FF000000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ck">
        <color rgb="FF000000"/>
      </top>
      <bottom style="thick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rgb="FFFFFFFF"/>
      </right>
      <top/>
      <bottom style="thick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top" wrapText="1" indent="1"/>
    </xf>
    <xf numFmtId="49" fontId="2" fillId="0" borderId="0" xfId="0" applyNumberFormat="1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indent="1"/>
    </xf>
    <xf numFmtId="164" fontId="2" fillId="0" borderId="0" xfId="0" applyNumberFormat="1" applyFont="1" applyAlignment="1">
      <alignment horizontal="right" vertical="top" indent="1"/>
    </xf>
    <xf numFmtId="0" fontId="4" fillId="0" borderId="0" xfId="0" applyFont="1" applyAlignment="1">
      <alignment horizontal="center" vertical="center" wrapText="1" indent="1"/>
    </xf>
    <xf numFmtId="49" fontId="4" fillId="2" borderId="2" xfId="0" applyNumberFormat="1" applyFont="1" applyFill="1" applyBorder="1" applyAlignment="1">
      <alignment horizontal="center" vertical="center" wrapText="1" indent="1"/>
    </xf>
    <xf numFmtId="0" fontId="4" fillId="2" borderId="2" xfId="0" applyFont="1" applyFill="1" applyBorder="1" applyAlignment="1">
      <alignment horizontal="center" vertical="center" wrapText="1" indent="1"/>
    </xf>
    <xf numFmtId="164" fontId="4" fillId="2" borderId="2" xfId="0" applyNumberFormat="1" applyFont="1" applyFill="1" applyBorder="1" applyAlignment="1">
      <alignment horizontal="center" vertical="center" wrapText="1" indent="1"/>
    </xf>
    <xf numFmtId="164" fontId="4" fillId="2" borderId="3" xfId="0" applyNumberFormat="1" applyFont="1" applyFill="1" applyBorder="1" applyAlignment="1">
      <alignment horizontal="center" vertical="center" wrapText="1" indent="1"/>
    </xf>
    <xf numFmtId="0" fontId="1" fillId="0" borderId="5" xfId="0" applyFont="1" applyBorder="1" applyAlignment="1">
      <alignment horizontal="center" vertical="top" wrapText="1" indent="1"/>
    </xf>
    <xf numFmtId="49" fontId="2" fillId="0" borderId="6" xfId="0" applyNumberFormat="1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left" vertical="top" wrapText="1"/>
    </xf>
    <xf numFmtId="0" fontId="3" fillId="3" borderId="6" xfId="0" applyFont="1" applyFill="1" applyBorder="1" applyAlignment="1">
      <alignment horizontal="right" vertical="top" indent="1"/>
    </xf>
    <xf numFmtId="0" fontId="3" fillId="4" borderId="6" xfId="0" applyFont="1" applyFill="1" applyBorder="1" applyAlignment="1">
      <alignment horizontal="right" vertical="top" indent="1"/>
    </xf>
    <xf numFmtId="164" fontId="2" fillId="0" borderId="6" xfId="0" applyNumberFormat="1" applyFont="1" applyBorder="1" applyAlignment="1">
      <alignment horizontal="right" vertical="top" indent="1"/>
    </xf>
    <xf numFmtId="164" fontId="2" fillId="5" borderId="7" xfId="0" applyNumberFormat="1" applyFont="1" applyFill="1" applyBorder="1" applyAlignment="1">
      <alignment horizontal="right" vertical="top" indent="1"/>
    </xf>
    <xf numFmtId="0" fontId="6" fillId="0" borderId="0" xfId="0" applyFont="1" applyAlignment="1">
      <alignment horizontal="right" vertical="center" wrapText="1" indent="1"/>
    </xf>
    <xf numFmtId="164" fontId="6" fillId="2" borderId="2" xfId="0" applyNumberFormat="1" applyFont="1" applyFill="1" applyBorder="1" applyAlignment="1">
      <alignment horizontal="right" vertical="center" wrapText="1" indent="1"/>
    </xf>
    <xf numFmtId="164" fontId="6" fillId="2" borderId="3" xfId="0" applyNumberFormat="1" applyFont="1" applyFill="1" applyBorder="1" applyAlignment="1">
      <alignment horizontal="right" vertical="center" wrapText="1" indent="1"/>
    </xf>
    <xf numFmtId="0" fontId="7" fillId="2" borderId="1" xfId="0" applyFont="1" applyFill="1" applyBorder="1" applyAlignment="1">
      <alignment horizontal="right" vertical="center" wrapText="1" indent="1"/>
    </xf>
    <xf numFmtId="164" fontId="4" fillId="2" borderId="8" xfId="0" applyNumberFormat="1" applyFont="1" applyFill="1" applyBorder="1" applyAlignment="1">
      <alignment horizontal="center" vertical="center" wrapText="1" indent="1"/>
    </xf>
    <xf numFmtId="164" fontId="2" fillId="0" borderId="9" xfId="0" applyNumberFormat="1" applyFont="1" applyBorder="1" applyAlignment="1">
      <alignment horizontal="right" vertical="top" indent="1"/>
    </xf>
    <xf numFmtId="164" fontId="6" fillId="2" borderId="8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2"/>
  <sheetViews>
    <sheetView tabSelected="1" workbookViewId="0">
      <pane ySplit="3" topLeftCell="A330" activePane="bottomLeft" state="frozen"/>
      <selection pane="bottomLeft" activeCell="P344" sqref="P344"/>
    </sheetView>
  </sheetViews>
  <sheetFormatPr defaultRowHeight="15.75"/>
  <cols>
    <col min="1" max="1" width="6" style="1" customWidth="1"/>
    <col min="2" max="2" width="13" style="2" hidden="1" customWidth="1"/>
    <col min="3" max="3" width="50" style="3" customWidth="1"/>
    <col min="4" max="4" width="20" style="3" customWidth="1"/>
    <col min="5" max="6" width="12" style="4" customWidth="1"/>
    <col min="7" max="8" width="14" style="5" hidden="1" customWidth="1"/>
    <col min="9" max="9" width="13" style="5" hidden="1" customWidth="1"/>
    <col min="10" max="11" width="14" style="5" hidden="1" customWidth="1"/>
    <col min="12" max="12" width="12.7109375" style="5" customWidth="1"/>
    <col min="13" max="13" width="17.28515625" style="5" customWidth="1"/>
  </cols>
  <sheetData>
    <row r="1" spans="1:13" ht="23.25">
      <c r="A1" s="28" t="s">
        <v>1121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5.75" customHeight="1" thickBot="1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6" customFormat="1" ht="39.950000000000003" customHeight="1" thickTop="1" thickBot="1">
      <c r="A3" s="29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22" t="s">
        <v>1119</v>
      </c>
      <c r="M3" s="10" t="s">
        <v>11</v>
      </c>
    </row>
    <row r="4" spans="1:13" ht="16.5" thickTop="1">
      <c r="A4" s="11">
        <v>1</v>
      </c>
      <c r="B4" s="12" t="s">
        <v>12</v>
      </c>
      <c r="C4" s="13" t="s">
        <v>13</v>
      </c>
      <c r="D4" s="13" t="s">
        <v>14</v>
      </c>
      <c r="E4" s="14">
        <v>1</v>
      </c>
      <c r="F4" s="15">
        <v>1</v>
      </c>
      <c r="G4" s="16">
        <f>E4 * F4 * 23409.3496</f>
        <v>23409.349600000001</v>
      </c>
      <c r="H4" s="16">
        <f>E4 * F4 * 481976.373432</f>
        <v>481976.37343199999</v>
      </c>
      <c r="I4" s="16">
        <f>E4 * F4 * 1506.4686</f>
        <v>1506.4685999999999</v>
      </c>
      <c r="J4" s="16">
        <f>E4 * F4 * 23456.168299</f>
        <v>23456.168299000001</v>
      </c>
      <c r="K4" s="16">
        <f>E4 * F4 * 92810.962988</f>
        <v>92810.962987999999</v>
      </c>
      <c r="L4" s="23">
        <f>M4/E4/F4/100</f>
        <v>6231.5932291900008</v>
      </c>
      <c r="M4" s="17">
        <f>SUM(G4:K4)</f>
        <v>623159.32291900006</v>
      </c>
    </row>
    <row r="5" spans="1:13">
      <c r="A5" s="11">
        <v>2</v>
      </c>
      <c r="B5" s="12" t="s">
        <v>15</v>
      </c>
      <c r="C5" s="13" t="s">
        <v>16</v>
      </c>
      <c r="D5" s="13" t="s">
        <v>17</v>
      </c>
      <c r="E5" s="14">
        <v>1</v>
      </c>
      <c r="F5" s="15">
        <v>1</v>
      </c>
      <c r="G5" s="16">
        <f>E5 * F5 * 947.400046</f>
        <v>947.40004599999997</v>
      </c>
      <c r="H5" s="16">
        <f>E5 * F5 * 10506.416224</f>
        <v>10506.416224000001</v>
      </c>
      <c r="I5" s="16">
        <f>E5 * F5 * 12935.183443</f>
        <v>12935.183443</v>
      </c>
      <c r="J5" s="16">
        <f>E5 * F5 * 6933.404449</f>
        <v>6933.4044489999997</v>
      </c>
      <c r="K5" s="16">
        <f>E5 * F5 * 5481.420728</f>
        <v>5481.4207280000001</v>
      </c>
      <c r="L5" s="23">
        <f>M5/E5/F5</f>
        <v>36803.824889999996</v>
      </c>
      <c r="M5" s="17">
        <f>SUM(G5:K5)</f>
        <v>36803.824889999996</v>
      </c>
    </row>
    <row r="6" spans="1:13" ht="25.5">
      <c r="A6" s="11">
        <v>3</v>
      </c>
      <c r="B6" s="12" t="s">
        <v>18</v>
      </c>
      <c r="C6" s="13" t="s">
        <v>19</v>
      </c>
      <c r="D6" s="13" t="s">
        <v>20</v>
      </c>
      <c r="E6" s="14">
        <v>1</v>
      </c>
      <c r="F6" s="15">
        <v>1</v>
      </c>
      <c r="G6" s="16">
        <f>E6 * F6 * 9681.506218</f>
        <v>9681.5062180000004</v>
      </c>
      <c r="H6" s="16">
        <f>E6 * F6 * 26631.513018</f>
        <v>26631.513018000001</v>
      </c>
      <c r="I6" s="16">
        <f>E6 * F6 * 0</f>
        <v>0</v>
      </c>
      <c r="J6" s="16">
        <f>E6 * F6 * 9700.869231</f>
        <v>9700.8692310000006</v>
      </c>
      <c r="K6" s="16">
        <f>E6 * F6 * 8052.430482</f>
        <v>8052.4304819999998</v>
      </c>
      <c r="L6" s="23">
        <f t="shared" ref="L6:L68" si="0">M6/E6/F6/100</f>
        <v>540.66318948999992</v>
      </c>
      <c r="M6" s="17">
        <f>SUM(G6:K6)</f>
        <v>54066.318948999993</v>
      </c>
    </row>
    <row r="7" spans="1:13">
      <c r="A7" s="11">
        <v>4</v>
      </c>
      <c r="B7" s="12" t="s">
        <v>21</v>
      </c>
      <c r="C7" s="13" t="s">
        <v>22</v>
      </c>
      <c r="D7" s="13" t="s">
        <v>23</v>
      </c>
      <c r="E7" s="14">
        <v>1</v>
      </c>
      <c r="F7" s="15">
        <v>1</v>
      </c>
      <c r="G7" s="16">
        <f>E7 * F7 * 392.752882</f>
        <v>392.752882</v>
      </c>
      <c r="H7" s="16">
        <f>E7 * F7 * 1262.26283</f>
        <v>1262.2628299999999</v>
      </c>
      <c r="I7" s="16">
        <f>E7 * F7 * 0</f>
        <v>0</v>
      </c>
      <c r="J7" s="16">
        <f>E7 * F7 * 393.538386999999</f>
        <v>393.53838699999898</v>
      </c>
      <c r="K7" s="16">
        <f>E7 * F7 * 358.496967</f>
        <v>358.49696699999998</v>
      </c>
      <c r="L7" s="23">
        <f>M7/E7/F7</f>
        <v>2407.0510659999991</v>
      </c>
      <c r="M7" s="17">
        <f>SUM(G7:K7)</f>
        <v>2407.0510659999991</v>
      </c>
    </row>
    <row r="8" spans="1:13">
      <c r="A8" s="11">
        <v>5</v>
      </c>
      <c r="B8" s="12" t="s">
        <v>24</v>
      </c>
      <c r="C8" s="13" t="s">
        <v>25</v>
      </c>
      <c r="D8" s="13" t="s">
        <v>26</v>
      </c>
      <c r="E8" s="14">
        <v>1</v>
      </c>
      <c r="F8" s="15">
        <v>1</v>
      </c>
      <c r="G8" s="16">
        <f>E8 * F8 * 7771.692913</f>
        <v>7771.6929129999999</v>
      </c>
      <c r="H8" s="16">
        <f>E8 * F8 * 64237.254135</f>
        <v>64237.254135000003</v>
      </c>
      <c r="I8" s="16">
        <f>E8 * F8 * 0</f>
        <v>0</v>
      </c>
      <c r="J8" s="16">
        <f>E8 * F8 * 7787.236299</f>
        <v>7787.2362990000001</v>
      </c>
      <c r="K8" s="16">
        <f>E8 * F8 * 13964.332086</f>
        <v>13964.332086</v>
      </c>
      <c r="L8" s="23">
        <f t="shared" si="0"/>
        <v>937.60515432999989</v>
      </c>
      <c r="M8" s="17">
        <f>SUM(G8:K8)</f>
        <v>93760.515432999993</v>
      </c>
    </row>
    <row r="9" spans="1:13" ht="38.25">
      <c r="A9" s="11">
        <v>6</v>
      </c>
      <c r="B9" s="12" t="s">
        <v>27</v>
      </c>
      <c r="C9" s="13" t="s">
        <v>28</v>
      </c>
      <c r="D9" s="13" t="s">
        <v>29</v>
      </c>
      <c r="E9" s="14">
        <v>1</v>
      </c>
      <c r="F9" s="15">
        <v>1</v>
      </c>
      <c r="G9" s="16">
        <f>E9 * F9 * 24993.36525</f>
        <v>24993.365249999999</v>
      </c>
      <c r="H9" s="16">
        <f>E9 * F9 * 94968.820837</f>
        <v>94968.820837000007</v>
      </c>
      <c r="I9" s="16">
        <f>E9 * F9 * 18209.5368</f>
        <v>18209.536800000002</v>
      </c>
      <c r="J9" s="16">
        <f>E9 * F9 * 25043.351981</f>
        <v>25043.351981</v>
      </c>
      <c r="K9" s="16">
        <f>E9 * F9 * 28562.638102</f>
        <v>28562.638102000001</v>
      </c>
      <c r="L9" s="23">
        <f t="shared" si="0"/>
        <v>1917.7771296999999</v>
      </c>
      <c r="M9" s="17">
        <f>SUM(G9:K9)</f>
        <v>191777.71296999999</v>
      </c>
    </row>
    <row r="10" spans="1:13" ht="38.25">
      <c r="A10" s="11">
        <v>7</v>
      </c>
      <c r="B10" s="12" t="s">
        <v>30</v>
      </c>
      <c r="C10" s="13" t="s">
        <v>31</v>
      </c>
      <c r="D10" s="13" t="s">
        <v>32</v>
      </c>
      <c r="E10" s="14">
        <v>1</v>
      </c>
      <c r="F10" s="15">
        <v>1</v>
      </c>
      <c r="G10" s="16">
        <f>E10 * F10 * 98093.63304</f>
        <v>98093.633040000001</v>
      </c>
      <c r="H10" s="16">
        <f>E10 * F10 * 94968.820837</f>
        <v>94968.820837000007</v>
      </c>
      <c r="I10" s="16">
        <f>E10 * F10 * 0</f>
        <v>0</v>
      </c>
      <c r="J10" s="16">
        <f>E10 * F10 * 98289.820306</f>
        <v>98289.820305999994</v>
      </c>
      <c r="K10" s="16">
        <f>E10 * F10 * 50986.6479819999</f>
        <v>50986.6479819999</v>
      </c>
      <c r="L10" s="23">
        <f t="shared" si="0"/>
        <v>3423.3892216499994</v>
      </c>
      <c r="M10" s="17">
        <f>SUM(G10:K10)</f>
        <v>342338.92216499994</v>
      </c>
    </row>
    <row r="11" spans="1:13" ht="38.25">
      <c r="A11" s="11">
        <v>8</v>
      </c>
      <c r="B11" s="12" t="s">
        <v>33</v>
      </c>
      <c r="C11" s="13" t="s">
        <v>34</v>
      </c>
      <c r="D11" s="13" t="s">
        <v>35</v>
      </c>
      <c r="E11" s="14">
        <v>1</v>
      </c>
      <c r="F11" s="15">
        <v>1</v>
      </c>
      <c r="G11" s="16">
        <f>E11 * F11 * 13846.707135</f>
        <v>13846.707135000001</v>
      </c>
      <c r="H11" s="16">
        <f>E11 * F11 * 21866.542796</f>
        <v>21866.542796000002</v>
      </c>
      <c r="I11" s="16">
        <f>E11 * F11 * 0</f>
        <v>0</v>
      </c>
      <c r="J11" s="16">
        <f>E11 * F11 * 13874.4005499999</f>
        <v>13874.4005499999</v>
      </c>
      <c r="K11" s="16">
        <f>E11 * F11 * 8677.838834</f>
        <v>8677.8388340000001</v>
      </c>
      <c r="L11" s="23">
        <f t="shared" si="0"/>
        <v>582.654893149999</v>
      </c>
      <c r="M11" s="17">
        <f>SUM(G11:K11)</f>
        <v>58265.489314999904</v>
      </c>
    </row>
    <row r="12" spans="1:13" ht="38.25">
      <c r="A12" s="11">
        <v>9</v>
      </c>
      <c r="B12" s="12" t="s">
        <v>36</v>
      </c>
      <c r="C12" s="13" t="s">
        <v>37</v>
      </c>
      <c r="D12" s="13" t="s">
        <v>35</v>
      </c>
      <c r="E12" s="14">
        <v>1</v>
      </c>
      <c r="F12" s="15">
        <v>1</v>
      </c>
      <c r="G12" s="16">
        <f>E12 * F12 * 20067.6915</f>
        <v>20067.691500000001</v>
      </c>
      <c r="H12" s="16">
        <f>E12 * F12 * 32799.814195</f>
        <v>32799.814194999999</v>
      </c>
      <c r="I12" s="16">
        <f>E12 * F12 * 0</f>
        <v>0</v>
      </c>
      <c r="J12" s="16">
        <f>E12 * F12 * 20107.826883</f>
        <v>20107.826883000002</v>
      </c>
      <c r="K12" s="16">
        <f>E12 * F12 * 12770.683201</f>
        <v>12770.683201</v>
      </c>
      <c r="L12" s="23">
        <f t="shared" si="0"/>
        <v>857.46015779000004</v>
      </c>
      <c r="M12" s="17">
        <f>SUM(G12:K12)</f>
        <v>85746.015779000008</v>
      </c>
    </row>
    <row r="13" spans="1:13" ht="38.25">
      <c r="A13" s="11">
        <v>10</v>
      </c>
      <c r="B13" s="12" t="s">
        <v>38</v>
      </c>
      <c r="C13" s="13" t="s">
        <v>39</v>
      </c>
      <c r="D13" s="13" t="s">
        <v>35</v>
      </c>
      <c r="E13" s="14">
        <v>1</v>
      </c>
      <c r="F13" s="15">
        <v>1</v>
      </c>
      <c r="G13" s="16">
        <f>E13 * F13 * 22074.46065</f>
        <v>22074.460650000001</v>
      </c>
      <c r="H13" s="16">
        <f>E13 * F13 * 43733.085593</f>
        <v>43733.085593000003</v>
      </c>
      <c r="I13" s="16">
        <f>E13 * F13 * 0</f>
        <v>0</v>
      </c>
      <c r="J13" s="16">
        <f>E13 * F13 * 22118.609571</f>
        <v>22118.609571000001</v>
      </c>
      <c r="K13" s="16">
        <f>E13 * F13 * 15387.077267</f>
        <v>15387.077267000001</v>
      </c>
      <c r="L13" s="23">
        <f t="shared" si="0"/>
        <v>1033.13233081</v>
      </c>
      <c r="M13" s="17">
        <f>SUM(G13:K13)</f>
        <v>103313.233081</v>
      </c>
    </row>
    <row r="14" spans="1:13" ht="38.25">
      <c r="A14" s="11">
        <v>11</v>
      </c>
      <c r="B14" s="12" t="s">
        <v>40</v>
      </c>
      <c r="C14" s="13" t="s">
        <v>41</v>
      </c>
      <c r="D14" s="13" t="s">
        <v>35</v>
      </c>
      <c r="E14" s="14">
        <v>1</v>
      </c>
      <c r="F14" s="15">
        <v>1</v>
      </c>
      <c r="G14" s="16">
        <f>E14 * F14 * 32108.3064</f>
        <v>32108.306400000001</v>
      </c>
      <c r="H14" s="16">
        <f>E14 * F14 * 87466.171185</f>
        <v>87466.171184999999</v>
      </c>
      <c r="I14" s="16">
        <f>E14 * F14 * 0</f>
        <v>0</v>
      </c>
      <c r="J14" s="16">
        <f>E14 * F14 * 32172.523013</f>
        <v>32172.523013000002</v>
      </c>
      <c r="K14" s="16">
        <f>E14 * F14 * 26555.7251049999</f>
        <v>26555.725104999899</v>
      </c>
      <c r="L14" s="23">
        <f t="shared" si="0"/>
        <v>1783.0272570299992</v>
      </c>
      <c r="M14" s="17">
        <f>SUM(G14:K14)</f>
        <v>178302.72570299992</v>
      </c>
    </row>
    <row r="15" spans="1:13" ht="38.25">
      <c r="A15" s="11">
        <v>12</v>
      </c>
      <c r="B15" s="12" t="s">
        <v>42</v>
      </c>
      <c r="C15" s="13" t="s">
        <v>43</v>
      </c>
      <c r="D15" s="13" t="s">
        <v>29</v>
      </c>
      <c r="E15" s="14">
        <v>1</v>
      </c>
      <c r="F15" s="15">
        <v>1</v>
      </c>
      <c r="G15" s="16">
        <f>E15 * F15 * 60355.0623</f>
        <v>60355.062299999998</v>
      </c>
      <c r="H15" s="16">
        <f>E15 * F15 * 28151.695638</f>
        <v>28151.695638000001</v>
      </c>
      <c r="I15" s="16">
        <f>E15 * F15 * 22545.1408</f>
        <v>22545.140800000001</v>
      </c>
      <c r="J15" s="16">
        <f>E15 * F15 * 60475.772425</f>
        <v>60475.772425000003</v>
      </c>
      <c r="K15" s="16">
        <f>E15 * F15 * 30017.3424529999</f>
        <v>30017.342452999899</v>
      </c>
      <c r="L15" s="23">
        <f t="shared" si="0"/>
        <v>2015.4501361599989</v>
      </c>
      <c r="M15" s="17">
        <f>SUM(G15:K15)</f>
        <v>201545.01361599989</v>
      </c>
    </row>
    <row r="16" spans="1:13" ht="25.5">
      <c r="A16" s="11">
        <v>13</v>
      </c>
      <c r="B16" s="12" t="s">
        <v>44</v>
      </c>
      <c r="C16" s="13" t="s">
        <v>45</v>
      </c>
      <c r="D16" s="13" t="s">
        <v>46</v>
      </c>
      <c r="E16" s="14">
        <v>1</v>
      </c>
      <c r="F16" s="15">
        <v>1</v>
      </c>
      <c r="G16" s="16">
        <f>E16 * F16 * 2510.468207</f>
        <v>2510.4682069999999</v>
      </c>
      <c r="H16" s="16">
        <f>E16 * F16 * 1335.860129</f>
        <v>1335.8601289999999</v>
      </c>
      <c r="I16" s="16">
        <f>E16 * F16 * 1083.901</f>
        <v>1083.9010000000001</v>
      </c>
      <c r="J16" s="16">
        <f>E16 * F16 * 2515.489144</f>
        <v>2515.4891440000001</v>
      </c>
      <c r="K16" s="16">
        <f>E16 * F16 * 1303.000734</f>
        <v>1303.000734</v>
      </c>
      <c r="L16" s="23">
        <f t="shared" si="0"/>
        <v>87.487192139999991</v>
      </c>
      <c r="M16" s="17">
        <f>SUM(G16:K16)</f>
        <v>8748.7192139999988</v>
      </c>
    </row>
    <row r="17" spans="1:13" ht="25.5">
      <c r="A17" s="11">
        <v>14</v>
      </c>
      <c r="B17" s="12" t="s">
        <v>47</v>
      </c>
      <c r="C17" s="13" t="s">
        <v>48</v>
      </c>
      <c r="D17" s="13" t="s">
        <v>46</v>
      </c>
      <c r="E17" s="14">
        <v>1</v>
      </c>
      <c r="F17" s="15">
        <v>1</v>
      </c>
      <c r="G17" s="16">
        <f>E17 * F17 * 4848.76428</f>
        <v>4848.7642800000003</v>
      </c>
      <c r="H17" s="16">
        <f>E17 * F17 * 5186.874308</f>
        <v>5186.8743080000004</v>
      </c>
      <c r="I17" s="16">
        <f>E17 * F17 * 1318.023616</f>
        <v>1318.0236159999999</v>
      </c>
      <c r="J17" s="16">
        <f>E17 * F17 * 4858.46180899999</f>
        <v>4858.4618089999904</v>
      </c>
      <c r="K17" s="16">
        <f>E17 * F17 * 2837.121702</f>
        <v>2837.1217019999999</v>
      </c>
      <c r="L17" s="23">
        <f t="shared" si="0"/>
        <v>190.49245714999995</v>
      </c>
      <c r="M17" s="17">
        <f>SUM(G17:K17)</f>
        <v>19049.245714999994</v>
      </c>
    </row>
    <row r="18" spans="1:13" ht="25.5">
      <c r="A18" s="11">
        <v>15</v>
      </c>
      <c r="B18" s="12" t="s">
        <v>49</v>
      </c>
      <c r="C18" s="13" t="s">
        <v>50</v>
      </c>
      <c r="D18" s="13" t="s">
        <v>51</v>
      </c>
      <c r="E18" s="14">
        <v>1</v>
      </c>
      <c r="F18" s="15">
        <v>1</v>
      </c>
      <c r="G18" s="16">
        <f>E18 * F18 * 2608.799895</f>
        <v>2608.7998950000001</v>
      </c>
      <c r="H18" s="16">
        <f>E18 * F18 * 657.034643</f>
        <v>657.03464299999996</v>
      </c>
      <c r="I18" s="16">
        <f t="shared" ref="I18:I26" si="1">E18 * F18 * 0</f>
        <v>0</v>
      </c>
      <c r="J18" s="16">
        <f>E18 * F18 * 2614.017495</f>
        <v>2614.0174950000001</v>
      </c>
      <c r="K18" s="16">
        <f>E18 * F18 * 1028.974105</f>
        <v>1028.974105</v>
      </c>
      <c r="L18" s="23">
        <f t="shared" si="0"/>
        <v>69.088261380000006</v>
      </c>
      <c r="M18" s="17">
        <f>SUM(G18:K18)</f>
        <v>6908.8261380000004</v>
      </c>
    </row>
    <row r="19" spans="1:13" ht="25.5">
      <c r="A19" s="11">
        <v>16</v>
      </c>
      <c r="B19" s="12" t="s">
        <v>52</v>
      </c>
      <c r="C19" s="13" t="s">
        <v>53</v>
      </c>
      <c r="D19" s="13" t="s">
        <v>51</v>
      </c>
      <c r="E19" s="14">
        <v>1</v>
      </c>
      <c r="F19" s="15">
        <v>1</v>
      </c>
      <c r="G19" s="16">
        <f>E19 * F19 * 8829.78426</f>
        <v>8829.7842600000004</v>
      </c>
      <c r="H19" s="16">
        <f>E19 * F19 * 3737.54383</f>
        <v>3737.5438300000001</v>
      </c>
      <c r="I19" s="16">
        <f t="shared" si="1"/>
        <v>0</v>
      </c>
      <c r="J19" s="16">
        <f>E19 * F19 * 8847.443829</f>
        <v>8847.4438289999998</v>
      </c>
      <c r="K19" s="16">
        <f>E19 * F19 * 3747.585086</f>
        <v>3747.585086</v>
      </c>
      <c r="L19" s="23">
        <f t="shared" si="0"/>
        <v>251.62357004999998</v>
      </c>
      <c r="M19" s="17">
        <f>SUM(G19:K19)</f>
        <v>25162.357004999998</v>
      </c>
    </row>
    <row r="20" spans="1:13" ht="25.5">
      <c r="A20" s="11">
        <v>17</v>
      </c>
      <c r="B20" s="12" t="s">
        <v>54</v>
      </c>
      <c r="C20" s="13" t="s">
        <v>55</v>
      </c>
      <c r="D20" s="13" t="s">
        <v>51</v>
      </c>
      <c r="E20" s="14">
        <v>1</v>
      </c>
      <c r="F20" s="15">
        <v>1</v>
      </c>
      <c r="G20" s="16">
        <f>E20 * F20 * 11138.23152</f>
        <v>11138.231519999999</v>
      </c>
      <c r="H20" s="16">
        <f>E20 * F20 * 7927.000945</f>
        <v>7927.0009449999998</v>
      </c>
      <c r="I20" s="16">
        <f t="shared" si="1"/>
        <v>0</v>
      </c>
      <c r="J20" s="16">
        <f>E20 * F20 * 11160.507983</f>
        <v>11160.507983</v>
      </c>
      <c r="K20" s="16">
        <f>E20 * F20 * 5289.504579</f>
        <v>5289.5045790000004</v>
      </c>
      <c r="L20" s="23">
        <f t="shared" si="0"/>
        <v>355.15245026999997</v>
      </c>
      <c r="M20" s="17">
        <f>SUM(G20:K20)</f>
        <v>35515.245026999997</v>
      </c>
    </row>
    <row r="21" spans="1:13" ht="25.5">
      <c r="A21" s="11">
        <v>18</v>
      </c>
      <c r="B21" s="12" t="s">
        <v>56</v>
      </c>
      <c r="C21" s="13" t="s">
        <v>57</v>
      </c>
      <c r="D21" s="13" t="s">
        <v>58</v>
      </c>
      <c r="E21" s="14">
        <v>1</v>
      </c>
      <c r="F21" s="15">
        <v>1</v>
      </c>
      <c r="G21" s="16">
        <f>E21 * F21 * 42839.352</f>
        <v>42839.351999999999</v>
      </c>
      <c r="H21" s="16">
        <f>E21 * F21 * 29472.794661</f>
        <v>29472.794661</v>
      </c>
      <c r="I21" s="16">
        <f t="shared" si="1"/>
        <v>0</v>
      </c>
      <c r="J21" s="16">
        <f>E21 * F21 * 42925.030704</f>
        <v>42925.030703999997</v>
      </c>
      <c r="K21" s="16">
        <f>E21 * F21 * 20166.506039</f>
        <v>20166.506039</v>
      </c>
      <c r="L21" s="23">
        <f t="shared" si="0"/>
        <v>1354.03683404</v>
      </c>
      <c r="M21" s="17">
        <f>SUM(G21:K21)</f>
        <v>135403.68340400001</v>
      </c>
    </row>
    <row r="22" spans="1:13">
      <c r="A22" s="11">
        <v>19</v>
      </c>
      <c r="B22" s="12" t="s">
        <v>59</v>
      </c>
      <c r="C22" s="13" t="s">
        <v>60</v>
      </c>
      <c r="D22" s="13" t="s">
        <v>58</v>
      </c>
      <c r="E22" s="14">
        <v>1</v>
      </c>
      <c r="F22" s="15">
        <v>1</v>
      </c>
      <c r="G22" s="16">
        <f>E22 * F22 * 2819.956899</f>
        <v>2819.9568989999998</v>
      </c>
      <c r="H22" s="16">
        <f>E22 * F22 * 789.455432</f>
        <v>789.45543199999997</v>
      </c>
      <c r="I22" s="16">
        <f t="shared" si="1"/>
        <v>0</v>
      </c>
      <c r="J22" s="16">
        <f>E22 * F22 * 2825.59681199999</f>
        <v>2825.5968119999902</v>
      </c>
      <c r="K22" s="16">
        <f>E22 * F22 * 1126.1266</f>
        <v>1126.1266000000001</v>
      </c>
      <c r="L22" s="23">
        <f t="shared" si="0"/>
        <v>75.611357429999899</v>
      </c>
      <c r="M22" s="17">
        <f>SUM(G22:K22)</f>
        <v>7561.1357429999898</v>
      </c>
    </row>
    <row r="23" spans="1:13">
      <c r="A23" s="11">
        <v>20</v>
      </c>
      <c r="B23" s="12" t="s">
        <v>61</v>
      </c>
      <c r="C23" s="13" t="s">
        <v>62</v>
      </c>
      <c r="D23" s="13" t="s">
        <v>58</v>
      </c>
      <c r="E23" s="14">
        <v>1</v>
      </c>
      <c r="F23" s="15">
        <v>1</v>
      </c>
      <c r="G23" s="16">
        <f>E23 * F23 * 4712.32872</f>
        <v>4712.3287200000004</v>
      </c>
      <c r="H23" s="16">
        <f>E23 * F23 * 872.037601</f>
        <v>872.037601</v>
      </c>
      <c r="I23" s="16">
        <f t="shared" si="1"/>
        <v>0</v>
      </c>
      <c r="J23" s="16">
        <f>E23 * F23 * 4721.753377</f>
        <v>4721.753377</v>
      </c>
      <c r="K23" s="16">
        <f>E23 * F23 * 1803.570947</f>
        <v>1803.5709469999999</v>
      </c>
      <c r="L23" s="23">
        <f t="shared" si="0"/>
        <v>121.09690645000001</v>
      </c>
      <c r="M23" s="17">
        <f>SUM(G23:K23)</f>
        <v>12109.690645000001</v>
      </c>
    </row>
    <row r="24" spans="1:13" ht="25.5">
      <c r="A24" s="11">
        <v>21</v>
      </c>
      <c r="B24" s="12" t="s">
        <v>63</v>
      </c>
      <c r="C24" s="13" t="s">
        <v>64</v>
      </c>
      <c r="D24" s="13" t="s">
        <v>65</v>
      </c>
      <c r="E24" s="14">
        <v>1</v>
      </c>
      <c r="F24" s="15">
        <v>1</v>
      </c>
      <c r="G24" s="16">
        <f>E24 * F24 * 3210.83064</f>
        <v>3210.8306400000001</v>
      </c>
      <c r="H24" s="16">
        <f>E24 * F24 * 712.323278</f>
        <v>712.32327799999996</v>
      </c>
      <c r="I24" s="16">
        <f t="shared" si="1"/>
        <v>0</v>
      </c>
      <c r="J24" s="16">
        <f>E24 * F24 * 3217.252301</f>
        <v>3217.252301</v>
      </c>
      <c r="K24" s="16">
        <f>E24 * F24 * 1249.571088</f>
        <v>1249.5710879999999</v>
      </c>
      <c r="L24" s="23">
        <f t="shared" si="0"/>
        <v>83.899773070000009</v>
      </c>
      <c r="M24" s="17">
        <f>SUM(G24:K24)</f>
        <v>8389.977307000001</v>
      </c>
    </row>
    <row r="25" spans="1:13">
      <c r="A25" s="11">
        <v>22</v>
      </c>
      <c r="B25" s="12" t="s">
        <v>66</v>
      </c>
      <c r="C25" s="13" t="s">
        <v>67</v>
      </c>
      <c r="D25" s="13" t="s">
        <v>65</v>
      </c>
      <c r="E25" s="14">
        <v>1</v>
      </c>
      <c r="F25" s="15">
        <v>1</v>
      </c>
      <c r="G25" s="16">
        <f>E25 * F25 * 9632.49192</f>
        <v>9632.4919200000004</v>
      </c>
      <c r="H25" s="16">
        <f>E25 * F25 * 3873.314512</f>
        <v>3873.3145119999999</v>
      </c>
      <c r="I25" s="16">
        <f t="shared" si="1"/>
        <v>0</v>
      </c>
      <c r="J25" s="16">
        <f>E25 * F25 * 9651.756904</f>
        <v>9651.7569039999998</v>
      </c>
      <c r="K25" s="16">
        <f>E25 * F25 * 4052.573584</f>
        <v>4052.5735840000002</v>
      </c>
      <c r="L25" s="23">
        <f t="shared" si="0"/>
        <v>272.10136920000002</v>
      </c>
      <c r="M25" s="17">
        <f>SUM(G25:K25)</f>
        <v>27210.136920000001</v>
      </c>
    </row>
    <row r="26" spans="1:13" ht="25.5">
      <c r="A26" s="11">
        <v>23</v>
      </c>
      <c r="B26" s="12" t="s">
        <v>68</v>
      </c>
      <c r="C26" s="13" t="s">
        <v>69</v>
      </c>
      <c r="D26" s="13" t="s">
        <v>65</v>
      </c>
      <c r="E26" s="14">
        <v>1</v>
      </c>
      <c r="F26" s="15">
        <v>1</v>
      </c>
      <c r="G26" s="16">
        <f>E26 * F26 * 12637.60884</f>
        <v>12637.608840000001</v>
      </c>
      <c r="H26" s="16">
        <f>E26 * F26 * 8670.643261</f>
        <v>8670.6432609999993</v>
      </c>
      <c r="I26" s="16">
        <f t="shared" si="1"/>
        <v>0</v>
      </c>
      <c r="J26" s="16">
        <f>E26 * F26 * 12662.884058</f>
        <v>12662.884058</v>
      </c>
      <c r="K26" s="16">
        <f>E26 * F26 * 5944.948828</f>
        <v>5944.9488279999996</v>
      </c>
      <c r="L26" s="23">
        <f t="shared" si="0"/>
        <v>399.16084986999999</v>
      </c>
      <c r="M26" s="17">
        <f>SUM(G26:K26)</f>
        <v>39916.084987000002</v>
      </c>
    </row>
    <row r="27" spans="1:13" ht="25.5">
      <c r="A27" s="11">
        <v>24</v>
      </c>
      <c r="B27" s="12" t="s">
        <v>70</v>
      </c>
      <c r="C27" s="13" t="s">
        <v>71</v>
      </c>
      <c r="D27" s="13" t="s">
        <v>72</v>
      </c>
      <c r="E27" s="14">
        <v>1</v>
      </c>
      <c r="F27" s="15">
        <v>1</v>
      </c>
      <c r="G27" s="16">
        <f>E27 * F27 * 150.301796</f>
        <v>150.301796</v>
      </c>
      <c r="H27" s="16">
        <f>E27 * F27 * 4313.888933</f>
        <v>4313.8889330000002</v>
      </c>
      <c r="I27" s="16">
        <f>E27 * F27 * 0.050778</f>
        <v>5.0777999999999997E-2</v>
      </c>
      <c r="J27" s="16">
        <f>E27 * F27 * 150.602399</f>
        <v>150.60239899999999</v>
      </c>
      <c r="K27" s="16">
        <f>E27 * F27 * 807.597684</f>
        <v>807.59768399999996</v>
      </c>
      <c r="L27" s="23">
        <f>M27/E27/F27</f>
        <v>5422.4415900000004</v>
      </c>
      <c r="M27" s="17">
        <f>SUM(G27:K27)</f>
        <v>5422.4415900000004</v>
      </c>
    </row>
    <row r="28" spans="1:13">
      <c r="A28" s="11">
        <v>25</v>
      </c>
      <c r="B28" s="12" t="s">
        <v>73</v>
      </c>
      <c r="C28" s="13" t="s">
        <v>74</v>
      </c>
      <c r="D28" s="13" t="s">
        <v>75</v>
      </c>
      <c r="E28" s="14">
        <v>1</v>
      </c>
      <c r="F28" s="15">
        <v>1</v>
      </c>
      <c r="G28" s="16">
        <f>E28 * F28 * 788.102693</f>
        <v>788.10269300000004</v>
      </c>
      <c r="H28" s="16">
        <f>E28 * F28 * 1007.877305</f>
        <v>1007.877305</v>
      </c>
      <c r="I28" s="16">
        <f t="shared" ref="I28:I35" si="2">E28 * F28 * 0</f>
        <v>0</v>
      </c>
      <c r="J28" s="16">
        <f>E28 * F28 * 789.678898</f>
        <v>789.678898</v>
      </c>
      <c r="K28" s="16">
        <f>E28 * F28 * 452.490307</f>
        <v>452.49030699999997</v>
      </c>
      <c r="L28" s="23">
        <f>M28/E28/F28</f>
        <v>3038.1492029999999</v>
      </c>
      <c r="M28" s="17">
        <f>SUM(G28:K28)</f>
        <v>3038.1492029999999</v>
      </c>
    </row>
    <row r="29" spans="1:13" ht="25.5">
      <c r="A29" s="11">
        <v>26</v>
      </c>
      <c r="B29" s="12" t="s">
        <v>76</v>
      </c>
      <c r="C29" s="13" t="s">
        <v>77</v>
      </c>
      <c r="D29" s="13" t="s">
        <v>78</v>
      </c>
      <c r="E29" s="14">
        <v>1</v>
      </c>
      <c r="F29" s="15">
        <v>1</v>
      </c>
      <c r="G29" s="16">
        <f>E29 * F29 * 1027.048722</f>
        <v>1027.048722</v>
      </c>
      <c r="H29" s="16">
        <f>E29 * F29 * 2600.612211</f>
        <v>2600.6122110000001</v>
      </c>
      <c r="I29" s="16">
        <f t="shared" si="2"/>
        <v>0</v>
      </c>
      <c r="J29" s="16">
        <f>E29 * F29 * 1029.102819</f>
        <v>1029.102819</v>
      </c>
      <c r="K29" s="16">
        <f>E29 * F29 * 814.933655999999</f>
        <v>814.93365599999902</v>
      </c>
      <c r="L29" s="23">
        <f t="shared" si="0"/>
        <v>54.716974079999993</v>
      </c>
      <c r="M29" s="17">
        <f>SUM(G29:K29)</f>
        <v>5471.6974079999991</v>
      </c>
    </row>
    <row r="30" spans="1:13">
      <c r="A30" s="11">
        <v>27</v>
      </c>
      <c r="B30" s="12" t="s">
        <v>79</v>
      </c>
      <c r="C30" s="13" t="s">
        <v>80</v>
      </c>
      <c r="D30" s="13" t="s">
        <v>81</v>
      </c>
      <c r="E30" s="14">
        <v>1</v>
      </c>
      <c r="F30" s="15">
        <v>1</v>
      </c>
      <c r="G30" s="16">
        <f>E30 * F30 * 125.761068</f>
        <v>125.76106799999999</v>
      </c>
      <c r="H30" s="16">
        <f>E30 * F30 * 22.352086</f>
        <v>22.352086</v>
      </c>
      <c r="I30" s="16">
        <f t="shared" si="2"/>
        <v>0</v>
      </c>
      <c r="J30" s="16">
        <f>E30 * F30 * 126.012591</f>
        <v>126.012591</v>
      </c>
      <c r="K30" s="16">
        <f>E30 * F30 * 47.9720049999999</f>
        <v>47.972004999999903</v>
      </c>
      <c r="L30" s="23">
        <f>M30/E30/F30</f>
        <v>322.09774999999991</v>
      </c>
      <c r="M30" s="17">
        <f>SUM(G30:K30)</f>
        <v>322.09774999999991</v>
      </c>
    </row>
    <row r="31" spans="1:13" ht="25.5">
      <c r="A31" s="11">
        <v>28</v>
      </c>
      <c r="B31" s="12" t="s">
        <v>82</v>
      </c>
      <c r="C31" s="13" t="s">
        <v>83</v>
      </c>
      <c r="D31" s="13" t="s">
        <v>84</v>
      </c>
      <c r="E31" s="14">
        <v>1</v>
      </c>
      <c r="F31" s="15">
        <v>1</v>
      </c>
      <c r="G31" s="16">
        <f>E31 * F31 * 16652.919919</f>
        <v>16652.919919</v>
      </c>
      <c r="H31" s="16">
        <f>E31 * F31 * 4079.988256</f>
        <v>4079.9882560000001</v>
      </c>
      <c r="I31" s="16">
        <f t="shared" si="2"/>
        <v>0</v>
      </c>
      <c r="J31" s="16">
        <f>E31 * F31 * 16686.225759</f>
        <v>16686.225759000001</v>
      </c>
      <c r="K31" s="16">
        <f>E31 * F31 * 6548.348438</f>
        <v>6548.348438</v>
      </c>
      <c r="L31" s="23">
        <f t="shared" si="0"/>
        <v>439.67482372000001</v>
      </c>
      <c r="M31" s="17">
        <f>SUM(G31:K31)</f>
        <v>43967.482371999999</v>
      </c>
    </row>
    <row r="32" spans="1:13" ht="25.5">
      <c r="A32" s="11">
        <v>29</v>
      </c>
      <c r="B32" s="12" t="s">
        <v>85</v>
      </c>
      <c r="C32" s="13" t="s">
        <v>86</v>
      </c>
      <c r="D32" s="13" t="s">
        <v>87</v>
      </c>
      <c r="E32" s="14">
        <v>1</v>
      </c>
      <c r="F32" s="15">
        <v>1</v>
      </c>
      <c r="G32" s="16">
        <f>E32 * F32 * 257.810189</f>
        <v>257.81018899999998</v>
      </c>
      <c r="H32" s="16">
        <f>E32 * F32 * 751.060704</f>
        <v>751.06070399999999</v>
      </c>
      <c r="I32" s="16">
        <f t="shared" si="2"/>
        <v>0</v>
      </c>
      <c r="J32" s="16">
        <f>E32 * F32 * 258.325809</f>
        <v>258.32580899999999</v>
      </c>
      <c r="K32" s="16">
        <f>E32 * F32 * 221.759423</f>
        <v>221.759423</v>
      </c>
      <c r="L32" s="23">
        <f>M32/E32/F32/10</f>
        <v>148.8956125</v>
      </c>
      <c r="M32" s="17">
        <f>SUM(G32:K32)</f>
        <v>1488.9561249999999</v>
      </c>
    </row>
    <row r="33" spans="1:13" ht="38.25">
      <c r="A33" s="11">
        <v>30</v>
      </c>
      <c r="B33" s="12" t="s">
        <v>88</v>
      </c>
      <c r="C33" s="13" t="s">
        <v>89</v>
      </c>
      <c r="D33" s="13" t="s">
        <v>90</v>
      </c>
      <c r="E33" s="14">
        <v>1</v>
      </c>
      <c r="F33" s="15">
        <v>1</v>
      </c>
      <c r="G33" s="16">
        <f>E33 * F33 * 127.67417</f>
        <v>127.67417</v>
      </c>
      <c r="H33" s="16">
        <f>E33 * F33 * 698.774085</f>
        <v>698.77408500000001</v>
      </c>
      <c r="I33" s="16">
        <f t="shared" si="2"/>
        <v>0</v>
      </c>
      <c r="J33" s="16">
        <f>E33 * F33 * 127.929518</f>
        <v>127.929518</v>
      </c>
      <c r="K33" s="16">
        <f>E33 * F33 * 167.01611</f>
        <v>167.01611</v>
      </c>
      <c r="L33" s="23">
        <f>M33/E33/F33</f>
        <v>1121.393883</v>
      </c>
      <c r="M33" s="17">
        <f>SUM(G33:K33)</f>
        <v>1121.393883</v>
      </c>
    </row>
    <row r="34" spans="1:13">
      <c r="A34" s="11">
        <v>31</v>
      </c>
      <c r="B34" s="12" t="s">
        <v>91</v>
      </c>
      <c r="C34" s="13" t="s">
        <v>92</v>
      </c>
      <c r="D34" s="13" t="s">
        <v>75</v>
      </c>
      <c r="E34" s="14">
        <v>1</v>
      </c>
      <c r="F34" s="15">
        <v>1</v>
      </c>
      <c r="G34" s="16">
        <f>E34 * F34 * 278.455788</f>
        <v>278.45578799999998</v>
      </c>
      <c r="H34" s="16">
        <f>E34 * F34 * 6.09065</f>
        <v>6.0906500000000001</v>
      </c>
      <c r="I34" s="16">
        <f t="shared" si="2"/>
        <v>0</v>
      </c>
      <c r="J34" s="16">
        <f>E34 * F34 * 279.0127</f>
        <v>279.0127</v>
      </c>
      <c r="K34" s="16">
        <f>E34 * F34 * 98.622849</f>
        <v>98.622849000000002</v>
      </c>
      <c r="L34" s="23">
        <f t="shared" ref="L34:L35" si="3">M34/E34/F34</f>
        <v>662.18198699999994</v>
      </c>
      <c r="M34" s="17">
        <f>SUM(G34:K34)</f>
        <v>662.18198699999994</v>
      </c>
    </row>
    <row r="35" spans="1:13">
      <c r="A35" s="11">
        <v>32</v>
      </c>
      <c r="B35" s="12" t="s">
        <v>93</v>
      </c>
      <c r="C35" s="13" t="s">
        <v>94</v>
      </c>
      <c r="D35" s="13" t="s">
        <v>75</v>
      </c>
      <c r="E35" s="14">
        <v>1</v>
      </c>
      <c r="F35" s="15">
        <v>1</v>
      </c>
      <c r="G35" s="16">
        <f>E35 * F35 * 149.937732</f>
        <v>149.93773200000001</v>
      </c>
      <c r="H35" s="16">
        <f>E35 * F35 * 116.025545</f>
        <v>116.02554499999999</v>
      </c>
      <c r="I35" s="16">
        <f t="shared" si="2"/>
        <v>0</v>
      </c>
      <c r="J35" s="16">
        <f>E35 * F35 * 150.237607</f>
        <v>150.237607</v>
      </c>
      <c r="K35" s="16">
        <f>E35 * F35 * 72.835154</f>
        <v>72.835154000000003</v>
      </c>
      <c r="L35" s="23">
        <f t="shared" si="3"/>
        <v>489.03603799999996</v>
      </c>
      <c r="M35" s="17">
        <f>SUM(G35:K35)</f>
        <v>489.03603799999996</v>
      </c>
    </row>
    <row r="36" spans="1:13" ht="25.5">
      <c r="A36" s="11">
        <v>33</v>
      </c>
      <c r="B36" s="12" t="s">
        <v>95</v>
      </c>
      <c r="C36" s="13" t="s">
        <v>96</v>
      </c>
      <c r="D36" s="13" t="s">
        <v>97</v>
      </c>
      <c r="E36" s="14">
        <v>1</v>
      </c>
      <c r="F36" s="15">
        <v>1</v>
      </c>
      <c r="G36" s="16">
        <f>E36 * F36 * 12706.015721</f>
        <v>12706.015721</v>
      </c>
      <c r="H36" s="16">
        <f>E36 * F36 * 68662.089363</f>
        <v>68662.089363000006</v>
      </c>
      <c r="I36" s="16">
        <f>E36 * F36 * 159.780803</f>
        <v>159.78080299999999</v>
      </c>
      <c r="J36" s="16">
        <f>E36 * F36 * 12833.3110569999</f>
        <v>12833.311056999901</v>
      </c>
      <c r="K36" s="16">
        <f>E36 * F36 * 16513.209465</f>
        <v>16513.209465</v>
      </c>
      <c r="L36" s="23">
        <f t="shared" si="0"/>
        <v>1108.744064089999</v>
      </c>
      <c r="M36" s="17">
        <f>SUM(G36:K36)</f>
        <v>110874.4064089999</v>
      </c>
    </row>
    <row r="37" spans="1:13" ht="25.5">
      <c r="A37" s="11">
        <v>34</v>
      </c>
      <c r="B37" s="12" t="s">
        <v>98</v>
      </c>
      <c r="C37" s="13" t="s">
        <v>99</v>
      </c>
      <c r="D37" s="13" t="s">
        <v>100</v>
      </c>
      <c r="E37" s="14">
        <v>1</v>
      </c>
      <c r="F37" s="15">
        <v>1</v>
      </c>
      <c r="G37" s="16">
        <f>E37 * F37 * 5955.176259</f>
        <v>5955.1762589999998</v>
      </c>
      <c r="H37" s="16">
        <f>E37 * F37 * 1592.465256</f>
        <v>1592.465256</v>
      </c>
      <c r="I37" s="16">
        <f>E37 * F37 * 24.736985</f>
        <v>24.736985000000001</v>
      </c>
      <c r="J37" s="16">
        <f>E37 * F37 * 5986.984367</f>
        <v>5986.984367</v>
      </c>
      <c r="K37" s="16">
        <f>E37 * F37 * 2372.888502</f>
        <v>2372.8885019999998</v>
      </c>
      <c r="L37" s="23">
        <f t="shared" si="0"/>
        <v>159.32251368999999</v>
      </c>
      <c r="M37" s="17">
        <f>SUM(G37:K37)</f>
        <v>15932.251369</v>
      </c>
    </row>
    <row r="38" spans="1:13" ht="25.5">
      <c r="A38" s="11">
        <v>35</v>
      </c>
      <c r="B38" s="12" t="s">
        <v>101</v>
      </c>
      <c r="C38" s="13" t="s">
        <v>102</v>
      </c>
      <c r="D38" s="13" t="s">
        <v>100</v>
      </c>
      <c r="E38" s="14">
        <v>1</v>
      </c>
      <c r="F38" s="15">
        <v>1</v>
      </c>
      <c r="G38" s="16">
        <f>E38 * F38 * 4413.836522</f>
        <v>4413.8365219999996</v>
      </c>
      <c r="H38" s="16">
        <f>E38 * F38 * 1592.465256</f>
        <v>1592.465256</v>
      </c>
      <c r="I38" s="16">
        <f>E38 * F38 * 24.736985</f>
        <v>24.736985000000001</v>
      </c>
      <c r="J38" s="16">
        <f>E38 * F38 * 4442.561951</f>
        <v>4442.5619509999997</v>
      </c>
      <c r="K38" s="16">
        <f>E38 * F38 * 1832.880125</f>
        <v>1832.8801249999999</v>
      </c>
      <c r="L38" s="23">
        <f t="shared" si="0"/>
        <v>123.06480838999998</v>
      </c>
      <c r="M38" s="17">
        <f>SUM(G38:K38)</f>
        <v>12306.480838999998</v>
      </c>
    </row>
    <row r="39" spans="1:13" ht="51">
      <c r="A39" s="11">
        <v>36</v>
      </c>
      <c r="B39" s="12" t="s">
        <v>103</v>
      </c>
      <c r="C39" s="13" t="s">
        <v>104</v>
      </c>
      <c r="D39" s="13" t="s">
        <v>84</v>
      </c>
      <c r="E39" s="14">
        <v>1</v>
      </c>
      <c r="F39" s="15">
        <v>1</v>
      </c>
      <c r="G39" s="16">
        <f>E39 * F39 * 44211.091379</f>
        <v>44211.091378999998</v>
      </c>
      <c r="H39" s="16">
        <f>E39 * F39 * 17930.053944</f>
        <v>17930.053943999999</v>
      </c>
      <c r="I39" s="16">
        <f>E39 * F39 * 331.475599</f>
        <v>331.47559899999999</v>
      </c>
      <c r="J39" s="16">
        <f>E39 * F39 * 44566.143494</f>
        <v>44566.143494000004</v>
      </c>
      <c r="K39" s="16">
        <f>E39 * F39 * 18731.783773</f>
        <v>18731.783772999999</v>
      </c>
      <c r="L39" s="23">
        <f t="shared" si="0"/>
        <v>1257.7054818899999</v>
      </c>
      <c r="M39" s="17">
        <f>SUM(G39:K39)</f>
        <v>125770.54818899999</v>
      </c>
    </row>
    <row r="40" spans="1:13" ht="25.5">
      <c r="A40" s="11">
        <v>37</v>
      </c>
      <c r="B40" s="12" t="s">
        <v>105</v>
      </c>
      <c r="C40" s="13" t="s">
        <v>106</v>
      </c>
      <c r="D40" s="13" t="s">
        <v>107</v>
      </c>
      <c r="E40" s="14">
        <v>1</v>
      </c>
      <c r="F40" s="15">
        <v>1</v>
      </c>
      <c r="G40" s="16">
        <f>E40 * F40 * 9833.168835</f>
        <v>9833.1688350000004</v>
      </c>
      <c r="H40" s="16">
        <f>E40 * F40 * 85134.305225</f>
        <v>85134.305225000004</v>
      </c>
      <c r="I40" s="16">
        <f>E40 * F40 * 0</f>
        <v>0</v>
      </c>
      <c r="J40" s="16">
        <f>E40 * F40 * 9852.835173</f>
        <v>9852.8351729999995</v>
      </c>
      <c r="K40" s="16">
        <f>E40 * F40 * 18343.554115</f>
        <v>18343.554114999999</v>
      </c>
      <c r="L40" s="23">
        <f t="shared" si="0"/>
        <v>1231.6386334800002</v>
      </c>
      <c r="M40" s="17">
        <f>SUM(G40:K40)</f>
        <v>123163.86334800001</v>
      </c>
    </row>
    <row r="41" spans="1:13" ht="25.5">
      <c r="A41" s="11">
        <v>38</v>
      </c>
      <c r="B41" s="12" t="s">
        <v>108</v>
      </c>
      <c r="C41" s="13" t="s">
        <v>109</v>
      </c>
      <c r="D41" s="13" t="s">
        <v>110</v>
      </c>
      <c r="E41" s="14">
        <v>1</v>
      </c>
      <c r="F41" s="15">
        <v>1</v>
      </c>
      <c r="G41" s="16">
        <f>E41 * F41 * 11318.49612</f>
        <v>11318.49612</v>
      </c>
      <c r="H41" s="16">
        <f>E41 * F41 * 7080.42759</f>
        <v>7080.4275900000002</v>
      </c>
      <c r="I41" s="16">
        <f>E41 * F41 * 0</f>
        <v>0</v>
      </c>
      <c r="J41" s="16">
        <f>E41 * F41 * 11341.133112</f>
        <v>11341.133112</v>
      </c>
      <c r="K41" s="16">
        <f>E41 * F41 * 5204.50994399999</f>
        <v>5204.5099439999904</v>
      </c>
      <c r="L41" s="23">
        <f t="shared" si="0"/>
        <v>349.44566765999991</v>
      </c>
      <c r="M41" s="17">
        <f>SUM(G41:K41)</f>
        <v>34944.566765999989</v>
      </c>
    </row>
    <row r="42" spans="1:13" ht="25.5">
      <c r="A42" s="11">
        <v>39</v>
      </c>
      <c r="B42" s="12" t="s">
        <v>111</v>
      </c>
      <c r="C42" s="13" t="s">
        <v>112</v>
      </c>
      <c r="D42" s="13" t="s">
        <v>110</v>
      </c>
      <c r="E42" s="14">
        <v>1</v>
      </c>
      <c r="F42" s="15">
        <v>1</v>
      </c>
      <c r="G42" s="16">
        <f>E42 * F42 * 13204.91214</f>
        <v>13204.91214</v>
      </c>
      <c r="H42" s="16">
        <f>E42 * F42 * 14031.723482</f>
        <v>14031.723481999999</v>
      </c>
      <c r="I42" s="16">
        <f>E42 * F42 * 0</f>
        <v>0</v>
      </c>
      <c r="J42" s="16">
        <f>E42 * F42 * 13231.3219639999</f>
        <v>13231.321963999901</v>
      </c>
      <c r="K42" s="16">
        <f>E42 * F42 * 7081.892578</f>
        <v>7081.892578</v>
      </c>
      <c r="L42" s="23">
        <f t="shared" si="0"/>
        <v>475.49850163999901</v>
      </c>
      <c r="M42" s="17">
        <f>SUM(G42:K42)</f>
        <v>47549.850163999901</v>
      </c>
    </row>
    <row r="43" spans="1:13">
      <c r="A43" s="11">
        <v>40</v>
      </c>
      <c r="B43" s="12" t="s">
        <v>113</v>
      </c>
      <c r="C43" s="13" t="s">
        <v>114</v>
      </c>
      <c r="D43" s="13" t="s">
        <v>115</v>
      </c>
      <c r="E43" s="14">
        <v>1</v>
      </c>
      <c r="F43" s="15">
        <v>1</v>
      </c>
      <c r="G43" s="16">
        <f>E43 * F43 * 2109.27255</f>
        <v>2109.2725500000001</v>
      </c>
      <c r="H43" s="16">
        <f>E43 * F43 * 1186.52168</f>
        <v>1186.5216800000001</v>
      </c>
      <c r="I43" s="16">
        <f>E43 * F43 * 0</f>
        <v>0</v>
      </c>
      <c r="J43" s="16">
        <f>E43 * F43 * 2113.491095</f>
        <v>2113.4910949999999</v>
      </c>
      <c r="K43" s="16">
        <f>E43 * F43 * 946.624932</f>
        <v>946.62493199999994</v>
      </c>
      <c r="L43" s="23">
        <f t="shared" si="0"/>
        <v>63.559102570000007</v>
      </c>
      <c r="M43" s="17">
        <f>SUM(G43:K43)</f>
        <v>6355.9102570000005</v>
      </c>
    </row>
    <row r="44" spans="1:13">
      <c r="A44" s="11">
        <v>41</v>
      </c>
      <c r="B44" s="12" t="s">
        <v>116</v>
      </c>
      <c r="C44" s="13" t="s">
        <v>117</v>
      </c>
      <c r="D44" s="13" t="s">
        <v>118</v>
      </c>
      <c r="E44" s="14">
        <v>1</v>
      </c>
      <c r="F44" s="15">
        <v>1</v>
      </c>
      <c r="G44" s="16">
        <f>E44 * F44 * 4485.12905</f>
        <v>4485.1290499999996</v>
      </c>
      <c r="H44" s="16">
        <f>E44 * F44 * 61345.103728</f>
        <v>61345.103728000002</v>
      </c>
      <c r="I44" s="16">
        <f>E44 * F44 * 159.796455</f>
        <v>159.79645500000001</v>
      </c>
      <c r="J44" s="16">
        <f>E44 * F44 * 4553.792576</f>
        <v>4553.7925759999998</v>
      </c>
      <c r="K44" s="16">
        <f>E44 * F44 * 12345.168817</f>
        <v>12345.168817</v>
      </c>
      <c r="L44" s="23">
        <f t="shared" si="0"/>
        <v>828.88990626000009</v>
      </c>
      <c r="M44" s="17">
        <f>SUM(G44:K44)</f>
        <v>82888.990626000013</v>
      </c>
    </row>
    <row r="45" spans="1:13">
      <c r="A45" s="11">
        <v>42</v>
      </c>
      <c r="B45" s="12" t="s">
        <v>119</v>
      </c>
      <c r="C45" s="13" t="s">
        <v>120</v>
      </c>
      <c r="D45" s="13" t="s">
        <v>121</v>
      </c>
      <c r="E45" s="14">
        <v>1</v>
      </c>
      <c r="F45" s="15">
        <v>1</v>
      </c>
      <c r="G45" s="16">
        <f>E45 * F45 * 901.287654</f>
        <v>901.28765399999997</v>
      </c>
      <c r="H45" s="16">
        <f>E45 * F45 * 3279.093872</f>
        <v>3279.0938719999999</v>
      </c>
      <c r="I45" s="16">
        <f>E45 * F45 * 0</f>
        <v>0</v>
      </c>
      <c r="J45" s="16">
        <f>E45 * F45 * 903.09023</f>
        <v>903.09023000000002</v>
      </c>
      <c r="K45" s="16">
        <f>E45 * F45 * 889.607557999999</f>
        <v>889.60755799999902</v>
      </c>
      <c r="L45" s="23">
        <f>M45/E45/F45/10</f>
        <v>597.30793139999992</v>
      </c>
      <c r="M45" s="17">
        <f>SUM(G45:K45)</f>
        <v>5973.0793139999987</v>
      </c>
    </row>
    <row r="46" spans="1:13" ht="38.25">
      <c r="A46" s="11">
        <v>43</v>
      </c>
      <c r="B46" s="12" t="s">
        <v>122</v>
      </c>
      <c r="C46" s="13" t="s">
        <v>123</v>
      </c>
      <c r="D46" s="13" t="s">
        <v>29</v>
      </c>
      <c r="E46" s="14">
        <v>1</v>
      </c>
      <c r="F46" s="15">
        <v>1</v>
      </c>
      <c r="G46" s="16">
        <f>E46 * F46 * 32129.514</f>
        <v>32129.513999999999</v>
      </c>
      <c r="H46" s="16">
        <f>E46 * F46 * 14099.784653</f>
        <v>14099.784653000001</v>
      </c>
      <c r="I46" s="16">
        <f>E46 * F46 * 0</f>
        <v>0</v>
      </c>
      <c r="J46" s="16">
        <f>E46 * F46 * 32193.773028</f>
        <v>32193.773028</v>
      </c>
      <c r="K46" s="16">
        <f>E46 * F46 * 13724.037544</f>
        <v>13724.037544000001</v>
      </c>
      <c r="L46" s="23">
        <f t="shared" si="0"/>
        <v>921.47109225000008</v>
      </c>
      <c r="M46" s="17">
        <f>SUM(G46:K46)</f>
        <v>92147.109225000007</v>
      </c>
    </row>
    <row r="47" spans="1:13" ht="38.25">
      <c r="A47" s="11">
        <v>44</v>
      </c>
      <c r="B47" s="12" t="s">
        <v>124</v>
      </c>
      <c r="C47" s="13" t="s">
        <v>125</v>
      </c>
      <c r="D47" s="13" t="s">
        <v>29</v>
      </c>
      <c r="E47" s="14">
        <v>1</v>
      </c>
      <c r="F47" s="15">
        <v>1</v>
      </c>
      <c r="G47" s="16">
        <f>E47 * F47 * 7464.54501</f>
        <v>7464.5450099999998</v>
      </c>
      <c r="H47" s="16">
        <f>E47 * F47 * 5186.874308</f>
        <v>5186.8743080000004</v>
      </c>
      <c r="I47" s="16">
        <f>E47 * F47 * 0</f>
        <v>0</v>
      </c>
      <c r="J47" s="16">
        <f>E47 * F47 * 7479.4741</f>
        <v>7479.4741000000004</v>
      </c>
      <c r="K47" s="16">
        <f>E47 * F47 * 3522.906348</f>
        <v>3522.906348</v>
      </c>
      <c r="L47" s="23">
        <f t="shared" si="0"/>
        <v>236.53799766</v>
      </c>
      <c r="M47" s="17">
        <f>SUM(G47:K47)</f>
        <v>23653.799766</v>
      </c>
    </row>
    <row r="48" spans="1:13">
      <c r="A48" s="11">
        <v>45</v>
      </c>
      <c r="B48" s="12" t="s">
        <v>126</v>
      </c>
      <c r="C48" s="13" t="s">
        <v>127</v>
      </c>
      <c r="D48" s="13" t="s">
        <v>128</v>
      </c>
      <c r="E48" s="14">
        <v>1</v>
      </c>
      <c r="F48" s="15">
        <v>1</v>
      </c>
      <c r="G48" s="16">
        <f>E48 * F48 * 30028.784578</f>
        <v>30028.784577999999</v>
      </c>
      <c r="H48" s="16">
        <f>E48 * F48 * 9732.919997</f>
        <v>9732.9199970000009</v>
      </c>
      <c r="I48" s="16">
        <f>E48 * F48 * 7.64764</f>
        <v>7.64764</v>
      </c>
      <c r="J48" s="16">
        <f>E48 * F48 * 30088.842148</f>
        <v>30088.842148</v>
      </c>
      <c r="K48" s="16">
        <f>E48 * F48 * 12225.184013</f>
        <v>12225.184013</v>
      </c>
      <c r="L48" s="23">
        <f t="shared" si="0"/>
        <v>820.83378376000007</v>
      </c>
      <c r="M48" s="17">
        <f>SUM(G48:K48)</f>
        <v>82083.378376000008</v>
      </c>
    </row>
    <row r="49" spans="1:13">
      <c r="A49" s="11">
        <v>46</v>
      </c>
      <c r="B49" s="12" t="s">
        <v>129</v>
      </c>
      <c r="C49" s="13" t="s">
        <v>130</v>
      </c>
      <c r="D49" s="13" t="s">
        <v>131</v>
      </c>
      <c r="E49" s="14">
        <v>1</v>
      </c>
      <c r="F49" s="15">
        <v>1</v>
      </c>
      <c r="G49" s="16">
        <f>E49 * F49 * 38776.3293</f>
        <v>38776.329299999998</v>
      </c>
      <c r="H49" s="16">
        <f>E49 * F49 * 631232.679708</f>
        <v>631232.67970800004</v>
      </c>
      <c r="I49" s="16">
        <f>E49 * F49 * 0</f>
        <v>0</v>
      </c>
      <c r="J49" s="16">
        <f>E49 * F49 * 38853.881959</f>
        <v>38853.881958999998</v>
      </c>
      <c r="K49" s="16">
        <f>E49 * F49 * 124051.005919</f>
        <v>124051.005919</v>
      </c>
      <c r="L49" s="23">
        <f t="shared" si="0"/>
        <v>8329.1389688600011</v>
      </c>
      <c r="M49" s="17">
        <f>SUM(G49:K49)</f>
        <v>832913.89688600006</v>
      </c>
    </row>
    <row r="50" spans="1:13" ht="25.5">
      <c r="A50" s="11">
        <v>47</v>
      </c>
      <c r="B50" s="12" t="s">
        <v>132</v>
      </c>
      <c r="C50" s="13" t="s">
        <v>133</v>
      </c>
      <c r="D50" s="13" t="s">
        <v>134</v>
      </c>
      <c r="E50" s="14">
        <v>1</v>
      </c>
      <c r="F50" s="15">
        <v>1</v>
      </c>
      <c r="G50" s="16">
        <f>E50 * F50 * 7868.578067</f>
        <v>7868.5780670000004</v>
      </c>
      <c r="H50" s="16">
        <f>E50 * F50 * 5765.569662</f>
        <v>5765.5696619999999</v>
      </c>
      <c r="I50" s="16">
        <f>E50 * F50 * 0</f>
        <v>0</v>
      </c>
      <c r="J50" s="16">
        <f>E50 * F50 * 7884.315223</f>
        <v>7884.3152229999996</v>
      </c>
      <c r="K50" s="16">
        <f>E50 * F50 * 3765.73101599999</f>
        <v>3765.7310159999902</v>
      </c>
      <c r="L50" s="23">
        <f t="shared" si="0"/>
        <v>252.84193967999991</v>
      </c>
      <c r="M50" s="17">
        <f>SUM(G50:K50)</f>
        <v>25284.193967999992</v>
      </c>
    </row>
    <row r="51" spans="1:13" ht="25.5">
      <c r="A51" s="11">
        <v>48</v>
      </c>
      <c r="B51" s="12" t="s">
        <v>135</v>
      </c>
      <c r="C51" s="13" t="s">
        <v>136</v>
      </c>
      <c r="D51" s="13" t="s">
        <v>51</v>
      </c>
      <c r="E51" s="14">
        <v>1</v>
      </c>
      <c r="F51" s="15">
        <v>1</v>
      </c>
      <c r="G51" s="16">
        <f>E51 * F51 * 3581.597986</f>
        <v>3581.5979860000002</v>
      </c>
      <c r="H51" s="16">
        <f>E51 * F51 * 2380.776613</f>
        <v>2380.776613</v>
      </c>
      <c r="I51" s="16">
        <f>E51 * F51 * 0.69524</f>
        <v>0.69523999999999997</v>
      </c>
      <c r="J51" s="16">
        <f>E51 * F51 * 3588.761182</f>
        <v>3588.7611820000002</v>
      </c>
      <c r="K51" s="16">
        <f>E51 * F51 * 1671.57042899999</f>
        <v>1671.5704289999901</v>
      </c>
      <c r="L51" s="23">
        <f t="shared" si="0"/>
        <v>112.23401449999992</v>
      </c>
      <c r="M51" s="17">
        <f>SUM(G51:K51)</f>
        <v>11223.401449999992</v>
      </c>
    </row>
    <row r="52" spans="1:13" ht="25.5">
      <c r="A52" s="11">
        <v>49</v>
      </c>
      <c r="B52" s="12" t="s">
        <v>137</v>
      </c>
      <c r="C52" s="13" t="s">
        <v>138</v>
      </c>
      <c r="D52" s="13" t="s">
        <v>51</v>
      </c>
      <c r="E52" s="14">
        <v>1</v>
      </c>
      <c r="F52" s="15">
        <v>1</v>
      </c>
      <c r="G52" s="16">
        <f>E52 * F52 * 8829.78426</f>
        <v>8829.7842600000004</v>
      </c>
      <c r="H52" s="16">
        <f>E52 * F52 * 6745.39508</f>
        <v>6745.3950800000002</v>
      </c>
      <c r="I52" s="16">
        <f t="shared" ref="I52:I81" si="4">E52 * F52 * 0</f>
        <v>0</v>
      </c>
      <c r="J52" s="16">
        <f>E52 * F52 * 8847.443829</f>
        <v>8847.4438289999998</v>
      </c>
      <c r="K52" s="16">
        <f>E52 * F52 * 4273.959055</f>
        <v>4273.9590550000003</v>
      </c>
      <c r="L52" s="23">
        <f t="shared" si="0"/>
        <v>286.96582223999997</v>
      </c>
      <c r="M52" s="17">
        <f>SUM(G52:K52)</f>
        <v>28696.582223999998</v>
      </c>
    </row>
    <row r="53" spans="1:13" ht="38.25">
      <c r="A53" s="11">
        <v>50</v>
      </c>
      <c r="B53" s="12" t="s">
        <v>139</v>
      </c>
      <c r="C53" s="13" t="s">
        <v>28</v>
      </c>
      <c r="D53" s="13" t="s">
        <v>29</v>
      </c>
      <c r="E53" s="14">
        <v>1</v>
      </c>
      <c r="F53" s="15">
        <v>1</v>
      </c>
      <c r="G53" s="16">
        <f>E53 * F53 * 24993.36525</f>
        <v>24993.365249999999</v>
      </c>
      <c r="H53" s="16">
        <f>E53 * F53 * 80056.977264</f>
        <v>80056.977264000001</v>
      </c>
      <c r="I53" s="16">
        <f t="shared" si="4"/>
        <v>0</v>
      </c>
      <c r="J53" s="16">
        <f>E53 * F53 * 25043.351981</f>
        <v>25043.351981</v>
      </c>
      <c r="K53" s="16">
        <f>E53 * F53 * 22766.396536</f>
        <v>22766.396536</v>
      </c>
      <c r="L53" s="23">
        <f t="shared" si="0"/>
        <v>1528.6009103100002</v>
      </c>
      <c r="M53" s="17">
        <f>SUM(G53:K53)</f>
        <v>152860.09103100002</v>
      </c>
    </row>
    <row r="54" spans="1:13" ht="38.25">
      <c r="A54" s="11">
        <v>51</v>
      </c>
      <c r="B54" s="12" t="s">
        <v>140</v>
      </c>
      <c r="C54" s="13" t="s">
        <v>141</v>
      </c>
      <c r="D54" s="13" t="s">
        <v>29</v>
      </c>
      <c r="E54" s="14">
        <v>1</v>
      </c>
      <c r="F54" s="15">
        <v>1</v>
      </c>
      <c r="G54" s="16">
        <f>E54 * F54 * 32129.514</f>
        <v>32129.513999999999</v>
      </c>
      <c r="H54" s="16">
        <f>E54 * F54 * 14099.784653</f>
        <v>14099.784653000001</v>
      </c>
      <c r="I54" s="16">
        <f t="shared" si="4"/>
        <v>0</v>
      </c>
      <c r="J54" s="16">
        <f>E54 * F54 * 32193.773028</f>
        <v>32193.773028</v>
      </c>
      <c r="K54" s="16">
        <f>E54 * F54 * 13724.037544</f>
        <v>13724.037544000001</v>
      </c>
      <c r="L54" s="23">
        <f t="shared" si="0"/>
        <v>921.47109225000008</v>
      </c>
      <c r="M54" s="17">
        <f>SUM(G54:K54)</f>
        <v>92147.109225000007</v>
      </c>
    </row>
    <row r="55" spans="1:13" ht="25.5">
      <c r="A55" s="11">
        <v>52</v>
      </c>
      <c r="B55" s="12" t="s">
        <v>142</v>
      </c>
      <c r="C55" s="13" t="s">
        <v>143</v>
      </c>
      <c r="D55" s="13" t="s">
        <v>144</v>
      </c>
      <c r="E55" s="14">
        <v>1</v>
      </c>
      <c r="F55" s="15">
        <v>1</v>
      </c>
      <c r="G55" s="16">
        <f>E55 * F55 * 16455.50703</f>
        <v>16455.507030000001</v>
      </c>
      <c r="H55" s="16">
        <f>E55 * F55 * 47712.28355</f>
        <v>47712.28355</v>
      </c>
      <c r="I55" s="16">
        <f t="shared" si="4"/>
        <v>0</v>
      </c>
      <c r="J55" s="16">
        <f>E55 * F55 * 16488.418044</f>
        <v>16488.418043999998</v>
      </c>
      <c r="K55" s="16">
        <f>E55 * F55 * 14114.836509</f>
        <v>14114.836509000001</v>
      </c>
      <c r="L55" s="23">
        <f t="shared" si="0"/>
        <v>947.71045132999996</v>
      </c>
      <c r="M55" s="17">
        <f>SUM(G55:K55)</f>
        <v>94771.045132999992</v>
      </c>
    </row>
    <row r="56" spans="1:13" ht="25.5">
      <c r="A56" s="11">
        <v>53</v>
      </c>
      <c r="B56" s="12" t="s">
        <v>145</v>
      </c>
      <c r="C56" s="13" t="s">
        <v>146</v>
      </c>
      <c r="D56" s="13" t="s">
        <v>144</v>
      </c>
      <c r="E56" s="14">
        <v>1</v>
      </c>
      <c r="F56" s="15">
        <v>1</v>
      </c>
      <c r="G56" s="16">
        <f>E56 * F56 * 23278.52214</f>
        <v>23278.522140000001</v>
      </c>
      <c r="H56" s="16">
        <f>E56 * F56 * 82387.707122</f>
        <v>82387.707122000007</v>
      </c>
      <c r="I56" s="16">
        <f t="shared" si="4"/>
        <v>0</v>
      </c>
      <c r="J56" s="16">
        <f>E56 * F56 * 23325.079184</f>
        <v>23325.079183999998</v>
      </c>
      <c r="K56" s="16">
        <f>E56 * F56 * 22573.478978</f>
        <v>22573.478977999999</v>
      </c>
      <c r="L56" s="23">
        <f t="shared" si="0"/>
        <v>1515.6478742400002</v>
      </c>
      <c r="M56" s="17">
        <f>SUM(G56:K56)</f>
        <v>151564.78742400001</v>
      </c>
    </row>
    <row r="57" spans="1:13" ht="25.5">
      <c r="A57" s="11">
        <v>54</v>
      </c>
      <c r="B57" s="12" t="s">
        <v>147</v>
      </c>
      <c r="C57" s="13" t="s">
        <v>148</v>
      </c>
      <c r="D57" s="13" t="s">
        <v>149</v>
      </c>
      <c r="E57" s="14">
        <v>1</v>
      </c>
      <c r="F57" s="15">
        <v>1</v>
      </c>
      <c r="G57" s="16">
        <f>E57 * F57 * 23679.87597</f>
        <v>23679.875970000001</v>
      </c>
      <c r="H57" s="16">
        <f>E57 * F57 * 53183.810257</f>
        <v>53183.810256999997</v>
      </c>
      <c r="I57" s="16">
        <f t="shared" si="4"/>
        <v>0</v>
      </c>
      <c r="J57" s="16">
        <f>E57 * F57 * 23727.2357219999</f>
        <v>23727.235721999899</v>
      </c>
      <c r="K57" s="16">
        <f>E57 * F57 * 17603.411341</f>
        <v>17603.411340999999</v>
      </c>
      <c r="L57" s="23">
        <f t="shared" si="0"/>
        <v>1181.9433328999989</v>
      </c>
      <c r="M57" s="17">
        <f>SUM(G57:K57)</f>
        <v>118194.33328999989</v>
      </c>
    </row>
    <row r="58" spans="1:13" ht="25.5">
      <c r="A58" s="11">
        <v>55</v>
      </c>
      <c r="B58" s="12" t="s">
        <v>150</v>
      </c>
      <c r="C58" s="13" t="s">
        <v>151</v>
      </c>
      <c r="D58" s="13" t="s">
        <v>51</v>
      </c>
      <c r="E58" s="14">
        <v>1</v>
      </c>
      <c r="F58" s="15">
        <v>1</v>
      </c>
      <c r="G58" s="16">
        <f>E58 * F58 * 2408.12298</f>
        <v>2408.1229800000001</v>
      </c>
      <c r="H58" s="16">
        <f>E58 * F58 * 7235.276638</f>
        <v>7235.2766380000003</v>
      </c>
      <c r="I58" s="16">
        <f t="shared" si="4"/>
        <v>0</v>
      </c>
      <c r="J58" s="16">
        <f>E58 * F58 * 2412.939226</f>
        <v>2412.939226</v>
      </c>
      <c r="K58" s="16">
        <f>E58 * F58 * 2109.859297</f>
        <v>2109.859297</v>
      </c>
      <c r="L58" s="23">
        <f t="shared" si="0"/>
        <v>141.66198141000001</v>
      </c>
      <c r="M58" s="17">
        <f>SUM(G58:K58)</f>
        <v>14166.198141000001</v>
      </c>
    </row>
    <row r="59" spans="1:13">
      <c r="A59" s="11">
        <v>56</v>
      </c>
      <c r="B59" s="12" t="s">
        <v>152</v>
      </c>
      <c r="C59" s="13" t="s">
        <v>153</v>
      </c>
      <c r="D59" s="13" t="s">
        <v>154</v>
      </c>
      <c r="E59" s="14">
        <v>1</v>
      </c>
      <c r="F59" s="15">
        <v>1</v>
      </c>
      <c r="G59" s="16">
        <f>E59 * F59 * 11138.23152</f>
        <v>11138.231519999999</v>
      </c>
      <c r="H59" s="16">
        <f>E59 * F59 * 67310.632104</f>
        <v>67310.632104000004</v>
      </c>
      <c r="I59" s="16">
        <f t="shared" si="4"/>
        <v>0</v>
      </c>
      <c r="J59" s="16">
        <f>E59 * F59 * 11160.507983</f>
        <v>11160.507983</v>
      </c>
      <c r="K59" s="16">
        <f>E59 * F59 * 15681.640032</f>
        <v>15681.640031999999</v>
      </c>
      <c r="L59" s="23">
        <f t="shared" si="0"/>
        <v>1052.91011639</v>
      </c>
      <c r="M59" s="17">
        <f>SUM(G59:K59)</f>
        <v>105291.011639</v>
      </c>
    </row>
    <row r="60" spans="1:13">
      <c r="A60" s="11">
        <v>57</v>
      </c>
      <c r="B60" s="12" t="s">
        <v>155</v>
      </c>
      <c r="C60" s="13" t="s">
        <v>156</v>
      </c>
      <c r="D60" s="13" t="s">
        <v>154</v>
      </c>
      <c r="E60" s="14">
        <v>1</v>
      </c>
      <c r="F60" s="15">
        <v>1</v>
      </c>
      <c r="G60" s="16">
        <f>E60 * F60 * 25703.6112</f>
        <v>25703.611199999999</v>
      </c>
      <c r="H60" s="16">
        <f>E60 * F60 * 67310.632104</f>
        <v>67310.632104000004</v>
      </c>
      <c r="I60" s="16">
        <f t="shared" si="4"/>
        <v>0</v>
      </c>
      <c r="J60" s="16">
        <f>E60 * F60 * 25755.018422</f>
        <v>25755.018422000001</v>
      </c>
      <c r="K60" s="16">
        <f>E60 * F60 * 20784.6208019999</f>
        <v>20784.620801999899</v>
      </c>
      <c r="L60" s="23">
        <f t="shared" si="0"/>
        <v>1395.5388252799989</v>
      </c>
      <c r="M60" s="17">
        <f>SUM(G60:K60)</f>
        <v>139553.8825279999</v>
      </c>
    </row>
    <row r="61" spans="1:13">
      <c r="A61" s="11">
        <v>58</v>
      </c>
      <c r="B61" s="12" t="s">
        <v>157</v>
      </c>
      <c r="C61" s="13" t="s">
        <v>158</v>
      </c>
      <c r="D61" s="13" t="s">
        <v>154</v>
      </c>
      <c r="E61" s="14">
        <v>1</v>
      </c>
      <c r="F61" s="15">
        <v>1</v>
      </c>
      <c r="G61" s="16">
        <f>E61 * F61 * 8139.47688</f>
        <v>8139.4768800000002</v>
      </c>
      <c r="H61" s="16">
        <f>E61 * F61 * 37437.461374</f>
        <v>37437.461373999999</v>
      </c>
      <c r="I61" s="16">
        <f t="shared" si="4"/>
        <v>0</v>
      </c>
      <c r="J61" s="16">
        <f>E61 * F61 * 8155.755834</f>
        <v>8155.7558339999996</v>
      </c>
      <c r="K61" s="16">
        <f>E61 * F61 * 9403.221466</f>
        <v>9403.2214660000009</v>
      </c>
      <c r="L61" s="23">
        <f t="shared" si="0"/>
        <v>631.35915554000007</v>
      </c>
      <c r="M61" s="17">
        <f>SUM(G61:K61)</f>
        <v>63135.915554000007</v>
      </c>
    </row>
    <row r="62" spans="1:13">
      <c r="A62" s="11">
        <v>59</v>
      </c>
      <c r="B62" s="12" t="s">
        <v>159</v>
      </c>
      <c r="C62" s="13" t="s">
        <v>160</v>
      </c>
      <c r="D62" s="13" t="s">
        <v>161</v>
      </c>
      <c r="E62" s="14">
        <v>1</v>
      </c>
      <c r="F62" s="15">
        <v>1</v>
      </c>
      <c r="G62" s="16">
        <f>E62 * F62 * 12209.21532</f>
        <v>12209.215319999999</v>
      </c>
      <c r="H62" s="16">
        <f>E62 * F62 * 50651.284721</f>
        <v>50651.284721000004</v>
      </c>
      <c r="I62" s="16">
        <f t="shared" si="4"/>
        <v>0</v>
      </c>
      <c r="J62" s="16">
        <f>E62 * F62 * 12233.633751</f>
        <v>12233.633750999999</v>
      </c>
      <c r="K62" s="16">
        <f>E62 * F62 * 13141.473413</f>
        <v>13141.473413</v>
      </c>
      <c r="L62" s="23">
        <f t="shared" si="0"/>
        <v>882.35607205000008</v>
      </c>
      <c r="M62" s="17">
        <f>SUM(G62:K62)</f>
        <v>88235.607205000008</v>
      </c>
    </row>
    <row r="63" spans="1:13" ht="25.5">
      <c r="A63" s="11">
        <v>60</v>
      </c>
      <c r="B63" s="12" t="s">
        <v>162</v>
      </c>
      <c r="C63" s="13" t="s">
        <v>163</v>
      </c>
      <c r="D63" s="13" t="s">
        <v>51</v>
      </c>
      <c r="E63" s="14">
        <v>1</v>
      </c>
      <c r="F63" s="15">
        <v>1</v>
      </c>
      <c r="G63" s="16">
        <f>E63 * F63 * 4414.89213</f>
        <v>4414.8921300000002</v>
      </c>
      <c r="H63" s="16">
        <f>E63 * F63 * 4120.130124</f>
        <v>4120.1301240000003</v>
      </c>
      <c r="I63" s="16">
        <f t="shared" si="4"/>
        <v>0</v>
      </c>
      <c r="J63" s="16">
        <f>E63 * F63 * 4423.721914</f>
        <v>4423.7219139999997</v>
      </c>
      <c r="K63" s="16">
        <f>E63 * F63 * 2267.78023</f>
        <v>2267.7802299999998</v>
      </c>
      <c r="L63" s="23">
        <f t="shared" si="0"/>
        <v>152.26524398000001</v>
      </c>
      <c r="M63" s="17">
        <f>SUM(G63:K63)</f>
        <v>15226.524398</v>
      </c>
    </row>
    <row r="64" spans="1:13" ht="25.5">
      <c r="A64" s="11">
        <v>61</v>
      </c>
      <c r="B64" s="12" t="s">
        <v>164</v>
      </c>
      <c r="C64" s="13" t="s">
        <v>165</v>
      </c>
      <c r="D64" s="13" t="s">
        <v>144</v>
      </c>
      <c r="E64" s="14">
        <v>1</v>
      </c>
      <c r="F64" s="15">
        <v>1</v>
      </c>
      <c r="G64" s="16">
        <f>E64 * F64 * 13244.67639</f>
        <v>13244.676390000001</v>
      </c>
      <c r="H64" s="16">
        <f>E64 * F64 * 47384.911403</f>
        <v>47384.911402999998</v>
      </c>
      <c r="I64" s="16">
        <f t="shared" si="4"/>
        <v>0</v>
      </c>
      <c r="J64" s="16">
        <f>E64 * F64 * 13271.165743</f>
        <v>13271.165743</v>
      </c>
      <c r="K64" s="16">
        <f>E64 * F64 * 12932.631869</f>
        <v>12932.631869000001</v>
      </c>
      <c r="L64" s="23">
        <f t="shared" si="0"/>
        <v>868.33385405000013</v>
      </c>
      <c r="M64" s="17">
        <f>SUM(G64:K64)</f>
        <v>86833.385405000008</v>
      </c>
    </row>
    <row r="65" spans="1:13" ht="25.5">
      <c r="A65" s="11">
        <v>62</v>
      </c>
      <c r="B65" s="12" t="s">
        <v>166</v>
      </c>
      <c r="C65" s="13" t="s">
        <v>167</v>
      </c>
      <c r="D65" s="13" t="s">
        <v>168</v>
      </c>
      <c r="E65" s="14">
        <v>1</v>
      </c>
      <c r="F65" s="15">
        <v>1</v>
      </c>
      <c r="G65" s="16">
        <f>E65 * F65 * 17057.537775</f>
        <v>17057.537775000001</v>
      </c>
      <c r="H65" s="16">
        <f>E65 * F65 * 33316.410889</f>
        <v>33316.410888999999</v>
      </c>
      <c r="I65" s="16">
        <f t="shared" si="4"/>
        <v>0</v>
      </c>
      <c r="J65" s="16">
        <f>E65 * F65 * 17091.652851</f>
        <v>17091.652850999999</v>
      </c>
      <c r="K65" s="16">
        <f>E65 * F65 * 11806.4802649999</f>
        <v>11806.4802649999</v>
      </c>
      <c r="L65" s="23">
        <f t="shared" si="0"/>
        <v>792.72081779999894</v>
      </c>
      <c r="M65" s="17">
        <f>SUM(G65:K65)</f>
        <v>79272.081779999891</v>
      </c>
    </row>
    <row r="66" spans="1:13" ht="25.5">
      <c r="A66" s="11">
        <v>63</v>
      </c>
      <c r="B66" s="12" t="s">
        <v>169</v>
      </c>
      <c r="C66" s="13" t="s">
        <v>170</v>
      </c>
      <c r="D66" s="13" t="s">
        <v>168</v>
      </c>
      <c r="E66" s="14">
        <v>1</v>
      </c>
      <c r="F66" s="15">
        <v>1</v>
      </c>
      <c r="G66" s="16">
        <f>E66 * F66 * 43546.890555</f>
        <v>43546.890554999998</v>
      </c>
      <c r="H66" s="16">
        <f>E66 * F66 * 33316.410889</f>
        <v>33316.410888999999</v>
      </c>
      <c r="I66" s="16">
        <f t="shared" si="4"/>
        <v>0</v>
      </c>
      <c r="J66" s="16">
        <f>E66 * F66 * 43633.984337</f>
        <v>43633.984337000002</v>
      </c>
      <c r="K66" s="16">
        <f>E66 * F66 * 21087.0250119999</f>
        <v>21087.0250119999</v>
      </c>
      <c r="L66" s="23">
        <f t="shared" si="0"/>
        <v>1415.843107929999</v>
      </c>
      <c r="M66" s="17">
        <f>SUM(G66:K66)</f>
        <v>141584.3107929999</v>
      </c>
    </row>
    <row r="67" spans="1:13" ht="25.5">
      <c r="A67" s="11">
        <v>64</v>
      </c>
      <c r="B67" s="12" t="s">
        <v>171</v>
      </c>
      <c r="C67" s="13" t="s">
        <v>172</v>
      </c>
      <c r="D67" s="13" t="s">
        <v>51</v>
      </c>
      <c r="E67" s="14">
        <v>1</v>
      </c>
      <c r="F67" s="15">
        <v>1</v>
      </c>
      <c r="G67" s="16">
        <f>E67 * F67 * 10635.876495</f>
        <v>10635.876495</v>
      </c>
      <c r="H67" s="16">
        <f>E67 * F67 * 6821.713388</f>
        <v>6821.7133880000001</v>
      </c>
      <c r="I67" s="16">
        <f t="shared" si="4"/>
        <v>0</v>
      </c>
      <c r="J67" s="16">
        <f>E67 * F67 * 10657.148248</f>
        <v>10657.148248</v>
      </c>
      <c r="K67" s="16">
        <f>E67 * F67 * 4920.079173</f>
        <v>4920.0791730000001</v>
      </c>
      <c r="L67" s="23">
        <f t="shared" si="0"/>
        <v>330.34817303999995</v>
      </c>
      <c r="M67" s="17">
        <f>SUM(G67:K67)</f>
        <v>33034.817303999997</v>
      </c>
    </row>
    <row r="68" spans="1:13">
      <c r="A68" s="11">
        <v>65</v>
      </c>
      <c r="B68" s="12" t="s">
        <v>173</v>
      </c>
      <c r="C68" s="13" t="s">
        <v>174</v>
      </c>
      <c r="D68" s="13" t="s">
        <v>175</v>
      </c>
      <c r="E68" s="14">
        <v>1</v>
      </c>
      <c r="F68" s="15">
        <v>1</v>
      </c>
      <c r="G68" s="16">
        <f>E68 * F68 * 11438.584155</f>
        <v>11438.584155</v>
      </c>
      <c r="H68" s="16">
        <f>E68 * F68 * 11552.407894</f>
        <v>11552.407894</v>
      </c>
      <c r="I68" s="16">
        <f t="shared" si="4"/>
        <v>0</v>
      </c>
      <c r="J68" s="16">
        <f>E68 * F68 * 11461.461324</f>
        <v>11461.461324</v>
      </c>
      <c r="K68" s="16">
        <f>E68 * F68 * 6029.17934</f>
        <v>6029.1793399999997</v>
      </c>
      <c r="L68" s="23">
        <f t="shared" si="0"/>
        <v>404.81632712999999</v>
      </c>
      <c r="M68" s="17">
        <f>SUM(G68:K68)</f>
        <v>40481.632712999999</v>
      </c>
    </row>
    <row r="69" spans="1:13">
      <c r="A69" s="11">
        <v>66</v>
      </c>
      <c r="B69" s="12" t="s">
        <v>176</v>
      </c>
      <c r="C69" s="13" t="s">
        <v>177</v>
      </c>
      <c r="D69" s="13" t="s">
        <v>178</v>
      </c>
      <c r="E69" s="14">
        <v>1</v>
      </c>
      <c r="F69" s="15">
        <v>1</v>
      </c>
      <c r="G69" s="16">
        <f>E69 * F69 * 14291.880815</f>
        <v>14291.880815</v>
      </c>
      <c r="H69" s="16">
        <f>E69 * F69 * 21400.617996</f>
        <v>21400.617996000001</v>
      </c>
      <c r="I69" s="16">
        <f t="shared" si="4"/>
        <v>0</v>
      </c>
      <c r="J69" s="16">
        <f>E69 * F69 * 14320.4645769999</f>
        <v>14320.464576999901</v>
      </c>
      <c r="K69" s="16">
        <f>E69 * F69 * 8752.268593</f>
        <v>8752.2685930000007</v>
      </c>
      <c r="L69" s="23">
        <f>M69/E69/F69/10</f>
        <v>5876.5231980999906</v>
      </c>
      <c r="M69" s="17">
        <f>SUM(G69:K69)</f>
        <v>58765.231980999903</v>
      </c>
    </row>
    <row r="70" spans="1:13">
      <c r="A70" s="11">
        <v>67</v>
      </c>
      <c r="B70" s="12" t="s">
        <v>179</v>
      </c>
      <c r="C70" s="13" t="s">
        <v>180</v>
      </c>
      <c r="D70" s="13" t="s">
        <v>178</v>
      </c>
      <c r="E70" s="14">
        <v>1</v>
      </c>
      <c r="F70" s="15">
        <v>1</v>
      </c>
      <c r="G70" s="16">
        <f>E70 * F70 * 39665.843201</f>
        <v>39665.843201000003</v>
      </c>
      <c r="H70" s="16">
        <f>E70 * F70 * 27361.988766</f>
        <v>27361.988765999999</v>
      </c>
      <c r="I70" s="16">
        <f t="shared" si="4"/>
        <v>0</v>
      </c>
      <c r="J70" s="16">
        <f>E70 * F70 * 39745.174888</f>
        <v>39745.174888000001</v>
      </c>
      <c r="K70" s="16">
        <f>E70 * F70 * 18685.276199</f>
        <v>18685.276199</v>
      </c>
      <c r="L70" s="23">
        <f>M70/E70/F70/10</f>
        <v>12545.828305400002</v>
      </c>
      <c r="M70" s="17">
        <f>SUM(G70:K70)</f>
        <v>125458.28305400001</v>
      </c>
    </row>
    <row r="71" spans="1:13" ht="38.25">
      <c r="A71" s="11">
        <v>68</v>
      </c>
      <c r="B71" s="12" t="s">
        <v>181</v>
      </c>
      <c r="C71" s="13" t="s">
        <v>182</v>
      </c>
      <c r="D71" s="13" t="s">
        <v>183</v>
      </c>
      <c r="E71" s="14">
        <v>1</v>
      </c>
      <c r="F71" s="15">
        <v>1</v>
      </c>
      <c r="G71" s="16">
        <f>E71 * F71 * 15510.53172</f>
        <v>15510.531720000001</v>
      </c>
      <c r="H71" s="16">
        <f>E71 * F71 * 9749.545609</f>
        <v>9749.5456090000007</v>
      </c>
      <c r="I71" s="16">
        <f t="shared" si="4"/>
        <v>0</v>
      </c>
      <c r="J71" s="16">
        <f>E71 * F71 * 15541.552783</f>
        <v>15541.552782999999</v>
      </c>
      <c r="K71" s="16">
        <f>E71 * F71 * 7140.285269</f>
        <v>7140.285269</v>
      </c>
      <c r="L71" s="23">
        <f t="shared" ref="L71:L130" si="5">M71/E71/F71/100</f>
        <v>479.41915381000001</v>
      </c>
      <c r="M71" s="17">
        <f>SUM(G71:K71)</f>
        <v>47941.915380999999</v>
      </c>
    </row>
    <row r="72" spans="1:13" ht="38.25">
      <c r="A72" s="11">
        <v>69</v>
      </c>
      <c r="B72" s="12" t="s">
        <v>184</v>
      </c>
      <c r="C72" s="13" t="s">
        <v>185</v>
      </c>
      <c r="D72" s="13" t="s">
        <v>183</v>
      </c>
      <c r="E72" s="14">
        <v>1</v>
      </c>
      <c r="F72" s="15">
        <v>1</v>
      </c>
      <c r="G72" s="16">
        <f>E72 * F72 * 22050.107256</f>
        <v>22050.107255999999</v>
      </c>
      <c r="H72" s="16">
        <f>E72 * F72 * 12630.702041</f>
        <v>12630.702041</v>
      </c>
      <c r="I72" s="16">
        <f t="shared" si="4"/>
        <v>0</v>
      </c>
      <c r="J72" s="16">
        <f>E72 * F72 * 22094.20747</f>
        <v>22094.207470000001</v>
      </c>
      <c r="K72" s="16">
        <f>E72 * F72 * 9935.627935</f>
        <v>9935.6279350000004</v>
      </c>
      <c r="L72" s="23">
        <f t="shared" si="5"/>
        <v>667.10644702000002</v>
      </c>
      <c r="M72" s="17">
        <f>SUM(G72:K72)</f>
        <v>66710.644702000005</v>
      </c>
    </row>
    <row r="73" spans="1:13" ht="25.5">
      <c r="A73" s="11">
        <v>70</v>
      </c>
      <c r="B73" s="12" t="s">
        <v>186</v>
      </c>
      <c r="C73" s="13" t="s">
        <v>187</v>
      </c>
      <c r="D73" s="13" t="s">
        <v>188</v>
      </c>
      <c r="E73" s="14">
        <v>1</v>
      </c>
      <c r="F73" s="15">
        <v>1</v>
      </c>
      <c r="G73" s="16">
        <f>E73 * F73 * 1277.863938</f>
        <v>1277.863938</v>
      </c>
      <c r="H73" s="16">
        <f>E73 * F73 * 402.956397</f>
        <v>402.95639699999998</v>
      </c>
      <c r="I73" s="16">
        <f t="shared" si="4"/>
        <v>0</v>
      </c>
      <c r="J73" s="16">
        <f>E73 * F73 * 1280.419666</f>
        <v>1280.419666</v>
      </c>
      <c r="K73" s="16">
        <f>E73 * F73 * 518.217</f>
        <v>518.21699999999998</v>
      </c>
      <c r="L73" s="23">
        <f>M73/E73/F73/10</f>
        <v>347.94570010000001</v>
      </c>
      <c r="M73" s="17">
        <f>SUM(G73:K73)</f>
        <v>3479.4570010000002</v>
      </c>
    </row>
    <row r="74" spans="1:13" ht="25.5">
      <c r="A74" s="11">
        <v>71</v>
      </c>
      <c r="B74" s="12" t="s">
        <v>189</v>
      </c>
      <c r="C74" s="13" t="s">
        <v>190</v>
      </c>
      <c r="D74" s="13" t="s">
        <v>188</v>
      </c>
      <c r="E74" s="14">
        <v>1</v>
      </c>
      <c r="F74" s="15">
        <v>1</v>
      </c>
      <c r="G74" s="16">
        <f>E74 * F74 * 1183.20735</f>
        <v>1183.2073499999999</v>
      </c>
      <c r="H74" s="16">
        <f>E74 * F74 * 404.45973</f>
        <v>404.45972999999998</v>
      </c>
      <c r="I74" s="16">
        <f t="shared" si="4"/>
        <v>0</v>
      </c>
      <c r="J74" s="16">
        <f>E74 * F74 * 1185.573765</f>
        <v>1185.5737650000001</v>
      </c>
      <c r="K74" s="16">
        <f>E74 * F74 * 485.317147</f>
        <v>485.31714699999998</v>
      </c>
      <c r="L74" s="23">
        <f>M74/E74/F74/10</f>
        <v>325.85579919999998</v>
      </c>
      <c r="M74" s="17">
        <f>SUM(G74:K74)</f>
        <v>3258.557992</v>
      </c>
    </row>
    <row r="75" spans="1:13" ht="25.5">
      <c r="A75" s="11">
        <v>72</v>
      </c>
      <c r="B75" s="12" t="s">
        <v>191</v>
      </c>
      <c r="C75" s="13" t="s">
        <v>192</v>
      </c>
      <c r="D75" s="13" t="s">
        <v>193</v>
      </c>
      <c r="E75" s="14">
        <v>1</v>
      </c>
      <c r="F75" s="15">
        <v>1</v>
      </c>
      <c r="G75" s="16">
        <f>E75 * F75 * 37.72832</f>
        <v>37.728319999999997</v>
      </c>
      <c r="H75" s="16">
        <f>E75 * F75 * 111.973034</f>
        <v>111.973034</v>
      </c>
      <c r="I75" s="16">
        <f t="shared" si="4"/>
        <v>0</v>
      </c>
      <c r="J75" s="16">
        <f>E75 * F75 * 37.803777</f>
        <v>37.803776999999997</v>
      </c>
      <c r="K75" s="16">
        <f>E75 * F75 * 32.813398</f>
        <v>32.813397999999999</v>
      </c>
      <c r="L75" s="23">
        <f>M75/E75/F75</f>
        <v>220.31852899999998</v>
      </c>
      <c r="M75" s="17">
        <f>SUM(G75:K75)</f>
        <v>220.31852899999998</v>
      </c>
    </row>
    <row r="76" spans="1:13">
      <c r="A76" s="11">
        <v>73</v>
      </c>
      <c r="B76" s="12" t="s">
        <v>194</v>
      </c>
      <c r="C76" s="13" t="s">
        <v>195</v>
      </c>
      <c r="D76" s="13" t="s">
        <v>193</v>
      </c>
      <c r="E76" s="14">
        <v>1</v>
      </c>
      <c r="F76" s="15">
        <v>1</v>
      </c>
      <c r="G76" s="16">
        <f>E76 * F76 * 12.576107</f>
        <v>12.576107</v>
      </c>
      <c r="H76" s="16">
        <f>E76 * F76 * 1.906378</f>
        <v>1.9063779999999999</v>
      </c>
      <c r="I76" s="16">
        <f t="shared" si="4"/>
        <v>0</v>
      </c>
      <c r="J76" s="16">
        <f>E76 * F76 * 12.6012589999999</f>
        <v>12.601258999999899</v>
      </c>
      <c r="K76" s="16">
        <f>E76 * F76 * 4.739655</f>
        <v>4.739655</v>
      </c>
      <c r="L76" s="23">
        <f t="shared" ref="L76:L78" si="6">M76/E76/F76</f>
        <v>31.823398999999899</v>
      </c>
      <c r="M76" s="17">
        <f>SUM(G76:K76)</f>
        <v>31.823398999999899</v>
      </c>
    </row>
    <row r="77" spans="1:13">
      <c r="A77" s="11">
        <v>74</v>
      </c>
      <c r="B77" s="12" t="s">
        <v>196</v>
      </c>
      <c r="C77" s="13" t="s">
        <v>197</v>
      </c>
      <c r="D77" s="13" t="s">
        <v>198</v>
      </c>
      <c r="E77" s="14">
        <v>1</v>
      </c>
      <c r="F77" s="15">
        <v>1</v>
      </c>
      <c r="G77" s="16">
        <f>E77 * F77 * 111.221491</f>
        <v>111.221491</v>
      </c>
      <c r="H77" s="16">
        <f>E77 * F77 * 80.563633</f>
        <v>80.563632999999996</v>
      </c>
      <c r="I77" s="16">
        <f t="shared" si="4"/>
        <v>0</v>
      </c>
      <c r="J77" s="16">
        <f>E77 * F77 * 111.443934</f>
        <v>111.443934</v>
      </c>
      <c r="K77" s="16">
        <f>E77 * F77 * 53.0650849999999</f>
        <v>53.065084999999897</v>
      </c>
      <c r="L77" s="23">
        <f t="shared" si="6"/>
        <v>356.29414299999991</v>
      </c>
      <c r="M77" s="17">
        <f>SUM(G77:K77)</f>
        <v>356.29414299999991</v>
      </c>
    </row>
    <row r="78" spans="1:13">
      <c r="A78" s="11">
        <v>75</v>
      </c>
      <c r="B78" s="12" t="s">
        <v>199</v>
      </c>
      <c r="C78" s="13" t="s">
        <v>200</v>
      </c>
      <c r="D78" s="13" t="s">
        <v>201</v>
      </c>
      <c r="E78" s="14">
        <v>1</v>
      </c>
      <c r="F78" s="15">
        <v>1</v>
      </c>
      <c r="G78" s="16">
        <f>E78 * F78 * 31.440267</f>
        <v>31.440266999999999</v>
      </c>
      <c r="H78" s="16">
        <f>E78 * F78 * 176.796985</f>
        <v>176.79698500000001</v>
      </c>
      <c r="I78" s="16">
        <f t="shared" si="4"/>
        <v>0</v>
      </c>
      <c r="J78" s="16">
        <f>E78 * F78 * 31.503148</f>
        <v>31.503147999999999</v>
      </c>
      <c r="K78" s="16">
        <f>E78 * F78 * 41.95457</f>
        <v>41.954569999999997</v>
      </c>
      <c r="L78" s="23">
        <f t="shared" si="6"/>
        <v>281.69497000000001</v>
      </c>
      <c r="M78" s="17">
        <f>SUM(G78:K78)</f>
        <v>281.69497000000001</v>
      </c>
    </row>
    <row r="79" spans="1:13">
      <c r="A79" s="11">
        <v>76</v>
      </c>
      <c r="B79" s="12" t="s">
        <v>202</v>
      </c>
      <c r="C79" s="13" t="s">
        <v>203</v>
      </c>
      <c r="D79" s="13" t="s">
        <v>204</v>
      </c>
      <c r="E79" s="14">
        <v>1</v>
      </c>
      <c r="F79" s="15">
        <v>1</v>
      </c>
      <c r="G79" s="16">
        <f>E79 * F79 * 11997.605887</f>
        <v>11997.605887</v>
      </c>
      <c r="H79" s="16">
        <f>E79 * F79 * 17642.617249</f>
        <v>17642.617248999999</v>
      </c>
      <c r="I79" s="16">
        <f t="shared" si="4"/>
        <v>0</v>
      </c>
      <c r="J79" s="16">
        <f>E79 * F79 * 12021.601099</f>
        <v>12021.601099</v>
      </c>
      <c r="K79" s="16">
        <f>E79 * F79 * 7290.819241</f>
        <v>7290.8192410000001</v>
      </c>
      <c r="L79" s="23">
        <f t="shared" si="5"/>
        <v>489.52643475999997</v>
      </c>
      <c r="M79" s="17">
        <f>SUM(G79:K79)</f>
        <v>48952.643475999997</v>
      </c>
    </row>
    <row r="80" spans="1:13">
      <c r="A80" s="11">
        <v>77</v>
      </c>
      <c r="B80" s="12" t="s">
        <v>205</v>
      </c>
      <c r="C80" s="13" t="s">
        <v>206</v>
      </c>
      <c r="D80" s="13" t="s">
        <v>207</v>
      </c>
      <c r="E80" s="14">
        <v>1</v>
      </c>
      <c r="F80" s="15">
        <v>1</v>
      </c>
      <c r="G80" s="16">
        <f>E80 * F80 * 22385.470104</f>
        <v>22385.470104</v>
      </c>
      <c r="H80" s="16">
        <f>E80 * F80 * 68264.114498</f>
        <v>68264.114497999995</v>
      </c>
      <c r="I80" s="16">
        <f t="shared" si="4"/>
        <v>0</v>
      </c>
      <c r="J80" s="16">
        <f>E80 * F80 * 22430.241044</f>
        <v>22430.241043999999</v>
      </c>
      <c r="K80" s="16">
        <f>E80 * F80 * 19788.969488</f>
        <v>19788.969487999999</v>
      </c>
      <c r="L80" s="23">
        <f t="shared" si="5"/>
        <v>1328.6879513399999</v>
      </c>
      <c r="M80" s="17">
        <f>SUM(G80:K80)</f>
        <v>132868.79513399999</v>
      </c>
    </row>
    <row r="81" spans="1:13">
      <c r="A81" s="11">
        <v>78</v>
      </c>
      <c r="B81" s="12" t="s">
        <v>208</v>
      </c>
      <c r="C81" s="13" t="s">
        <v>209</v>
      </c>
      <c r="D81" s="13" t="s">
        <v>207</v>
      </c>
      <c r="E81" s="14">
        <v>1</v>
      </c>
      <c r="F81" s="15">
        <v>1</v>
      </c>
      <c r="G81" s="16">
        <f>E81 * F81 * 15342.850296</f>
        <v>15342.850296000001</v>
      </c>
      <c r="H81" s="16">
        <f>E81 * F81 * 67313.370596</f>
        <v>67313.370595999993</v>
      </c>
      <c r="I81" s="16">
        <f t="shared" si="4"/>
        <v>0</v>
      </c>
      <c r="J81" s="16">
        <f>E81 * F81 * 15373.5359959999</f>
        <v>15373.5359959999</v>
      </c>
      <c r="K81" s="16">
        <f>E81 * F81 * 17155.207456</f>
        <v>17155.207456</v>
      </c>
      <c r="L81" s="23">
        <f t="shared" si="5"/>
        <v>1151.849643439999</v>
      </c>
      <c r="M81" s="17">
        <f>SUM(G81:K81)</f>
        <v>115184.96434399991</v>
      </c>
    </row>
    <row r="82" spans="1:13">
      <c r="A82" s="11">
        <v>79</v>
      </c>
      <c r="B82" s="12" t="s">
        <v>210</v>
      </c>
      <c r="C82" s="13" t="s">
        <v>211</v>
      </c>
      <c r="D82" s="13" t="s">
        <v>84</v>
      </c>
      <c r="E82" s="14">
        <v>1</v>
      </c>
      <c r="F82" s="15">
        <v>1</v>
      </c>
      <c r="G82" s="16">
        <f>E82 * F82 * 61144.055712</f>
        <v>61144.055712000001</v>
      </c>
      <c r="H82" s="16">
        <f>E82 * F82 * 214130.116348</f>
        <v>214130.11634800001</v>
      </c>
      <c r="I82" s="16">
        <f>E82 * F82 * 22.803872</f>
        <v>22.803871999999998</v>
      </c>
      <c r="J82" s="16">
        <f>E82 * F82 * 61266.343823</f>
        <v>61266.343823000003</v>
      </c>
      <c r="K82" s="16">
        <f>E82 * F82 * 58898.580958</f>
        <v>58898.580957999999</v>
      </c>
      <c r="L82" s="23">
        <f t="shared" si="5"/>
        <v>3954.6190071300002</v>
      </c>
      <c r="M82" s="17">
        <f>SUM(G82:K82)</f>
        <v>395461.90071300004</v>
      </c>
    </row>
    <row r="83" spans="1:13">
      <c r="A83" s="11">
        <v>80</v>
      </c>
      <c r="B83" s="12" t="s">
        <v>212</v>
      </c>
      <c r="C83" s="13" t="s">
        <v>213</v>
      </c>
      <c r="D83" s="13" t="s">
        <v>84</v>
      </c>
      <c r="E83" s="14">
        <v>1</v>
      </c>
      <c r="F83" s="15">
        <v>1</v>
      </c>
      <c r="G83" s="16">
        <f>E83 * F83 * 10635.876495</f>
        <v>10635.876495</v>
      </c>
      <c r="H83" s="16">
        <f>E83 * F83 * 5118.179377</f>
        <v>5118.1793770000004</v>
      </c>
      <c r="I83" s="16">
        <f>E83 * F83 * 0</f>
        <v>0</v>
      </c>
      <c r="J83" s="16">
        <f>E83 * F83 * 10657.148248</f>
        <v>10657.148248</v>
      </c>
      <c r="K83" s="16">
        <f>E83 * F83 * 4621.960721</f>
        <v>4621.9607210000004</v>
      </c>
      <c r="L83" s="23">
        <f t="shared" si="5"/>
        <v>310.33164841000001</v>
      </c>
      <c r="M83" s="17">
        <f>SUM(G83:K83)</f>
        <v>31033.164841000002</v>
      </c>
    </row>
    <row r="84" spans="1:13">
      <c r="A84" s="11">
        <v>81</v>
      </c>
      <c r="B84" s="12" t="s">
        <v>214</v>
      </c>
      <c r="C84" s="13" t="s">
        <v>215</v>
      </c>
      <c r="D84" s="13" t="s">
        <v>84</v>
      </c>
      <c r="E84" s="14">
        <v>1</v>
      </c>
      <c r="F84" s="15">
        <v>1</v>
      </c>
      <c r="G84" s="16">
        <f>E84 * F84 * 14993.7732</f>
        <v>14993.7732</v>
      </c>
      <c r="H84" s="16">
        <f>E84 * F84 * 3877.734307</f>
        <v>3877.7343070000002</v>
      </c>
      <c r="I84" s="16">
        <f>E84 * F84 * 0</f>
        <v>0</v>
      </c>
      <c r="J84" s="16">
        <f>E84 * F84 * 15023.760746</f>
        <v>15023.760746</v>
      </c>
      <c r="K84" s="16">
        <f>E84 * F84 * 5931.671944</f>
        <v>5931.6719439999997</v>
      </c>
      <c r="L84" s="23">
        <f t="shared" si="5"/>
        <v>398.26940197000005</v>
      </c>
      <c r="M84" s="17">
        <f>SUM(G84:K84)</f>
        <v>39826.940197000004</v>
      </c>
    </row>
    <row r="85" spans="1:13">
      <c r="A85" s="11">
        <v>82</v>
      </c>
      <c r="B85" s="12" t="s">
        <v>216</v>
      </c>
      <c r="C85" s="13" t="s">
        <v>217</v>
      </c>
      <c r="D85" s="13" t="s">
        <v>218</v>
      </c>
      <c r="E85" s="14">
        <v>1</v>
      </c>
      <c r="F85" s="15">
        <v>1</v>
      </c>
      <c r="G85" s="16">
        <f>E85 * F85 * 270.636546</f>
        <v>270.63654600000001</v>
      </c>
      <c r="H85" s="16">
        <f>E85 * F85 * 2931.982338</f>
        <v>2931.9823379999998</v>
      </c>
      <c r="I85" s="16">
        <f>E85 * F85 * 12.334686</f>
        <v>12.334686</v>
      </c>
      <c r="J85" s="16">
        <f>E85 * F85 * 271.177819</f>
        <v>271.177819</v>
      </c>
      <c r="K85" s="16">
        <f>E85 * F85 * 610.072993</f>
        <v>610.072993</v>
      </c>
      <c r="L85" s="23">
        <f>M85/E85/F85</f>
        <v>4096.2043819999999</v>
      </c>
      <c r="M85" s="17">
        <f>SUM(G85:K85)</f>
        <v>4096.2043819999999</v>
      </c>
    </row>
    <row r="86" spans="1:13" ht="25.5">
      <c r="A86" s="11">
        <v>83</v>
      </c>
      <c r="B86" s="12" t="s">
        <v>219</v>
      </c>
      <c r="C86" s="13" t="s">
        <v>220</v>
      </c>
      <c r="D86" s="13" t="s">
        <v>221</v>
      </c>
      <c r="E86" s="14">
        <v>1</v>
      </c>
      <c r="F86" s="15">
        <v>1</v>
      </c>
      <c r="G86" s="16">
        <f>E86 * F86 * 492.64972</f>
        <v>492.64972</v>
      </c>
      <c r="H86" s="16">
        <f>E86 * F86 * 3914.362319</f>
        <v>3914.3623189999998</v>
      </c>
      <c r="I86" s="16">
        <f t="shared" ref="I86:I98" si="7">E86 * F86 * 0</f>
        <v>0</v>
      </c>
      <c r="J86" s="16">
        <f>E86 * F86 * 493.635019</f>
        <v>493.635019</v>
      </c>
      <c r="K86" s="16">
        <f>E86 * F86 * 857.613235</f>
        <v>857.61323500000003</v>
      </c>
      <c r="L86" s="23">
        <f>M86/E86/F86</f>
        <v>5758.2602930000003</v>
      </c>
      <c r="M86" s="17">
        <f>SUM(G86:K86)</f>
        <v>5758.2602930000003</v>
      </c>
    </row>
    <row r="87" spans="1:13" ht="25.5">
      <c r="A87" s="11">
        <v>84</v>
      </c>
      <c r="B87" s="12" t="s">
        <v>222</v>
      </c>
      <c r="C87" s="13" t="s">
        <v>223</v>
      </c>
      <c r="D87" s="13" t="s">
        <v>224</v>
      </c>
      <c r="E87" s="14">
        <v>1</v>
      </c>
      <c r="F87" s="15">
        <v>1</v>
      </c>
      <c r="G87" s="16">
        <f>E87 * F87 * 1907.376198</f>
        <v>1907.3761979999999</v>
      </c>
      <c r="H87" s="16">
        <f>E87 * F87 * 265.817929</f>
        <v>265.81792899999999</v>
      </c>
      <c r="I87" s="16">
        <f t="shared" si="7"/>
        <v>0</v>
      </c>
      <c r="J87" s="16">
        <f>E87 * F87 * 1911.190951</f>
        <v>1911.190951</v>
      </c>
      <c r="K87" s="16">
        <f>E87 * F87 * 714.767389</f>
        <v>714.76738899999998</v>
      </c>
      <c r="L87" s="23">
        <f>M87/E87/F87/10</f>
        <v>479.91524670000001</v>
      </c>
      <c r="M87" s="17">
        <f>SUM(G87:K87)</f>
        <v>4799.1524669999999</v>
      </c>
    </row>
    <row r="88" spans="1:13">
      <c r="A88" s="11">
        <v>85</v>
      </c>
      <c r="B88" s="12" t="s">
        <v>225</v>
      </c>
      <c r="C88" s="13" t="s">
        <v>226</v>
      </c>
      <c r="D88" s="13" t="s">
        <v>224</v>
      </c>
      <c r="E88" s="14">
        <v>1</v>
      </c>
      <c r="F88" s="15">
        <v>1</v>
      </c>
      <c r="G88" s="16">
        <f>E88 * F88 * 2116.977978</f>
        <v>2116.9779779999999</v>
      </c>
      <c r="H88" s="16">
        <f>E88 * F88 * 265.817929</f>
        <v>265.81792899999999</v>
      </c>
      <c r="I88" s="16">
        <f t="shared" si="7"/>
        <v>0</v>
      </c>
      <c r="J88" s="16">
        <f>E88 * F88 * 2121.211934</f>
        <v>2121.2119339999999</v>
      </c>
      <c r="K88" s="16">
        <f>E88 * F88 * 788.201372</f>
        <v>788.20137199999999</v>
      </c>
      <c r="L88" s="23">
        <f>M88/E88/F88/10</f>
        <v>529.22092129999999</v>
      </c>
      <c r="M88" s="17">
        <f>SUM(G88:K88)</f>
        <v>5292.2092130000001</v>
      </c>
    </row>
    <row r="89" spans="1:13">
      <c r="A89" s="11">
        <v>86</v>
      </c>
      <c r="B89" s="12" t="s">
        <v>227</v>
      </c>
      <c r="C89" s="13" t="s">
        <v>228</v>
      </c>
      <c r="D89" s="13" t="s">
        <v>229</v>
      </c>
      <c r="E89" s="14">
        <v>1</v>
      </c>
      <c r="F89" s="15">
        <v>1</v>
      </c>
      <c r="G89" s="16">
        <f>E89 * F89 * 2096.0178</f>
        <v>2096.0178000000001</v>
      </c>
      <c r="H89" s="16">
        <f>E89 * F89 * 248.5296</f>
        <v>248.52959999999999</v>
      </c>
      <c r="I89" s="16">
        <f t="shared" si="7"/>
        <v>0</v>
      </c>
      <c r="J89" s="16">
        <f>E89 * F89 * 2100.209836</f>
        <v>2100.209836</v>
      </c>
      <c r="K89" s="16">
        <f>E89 * F89 * 777.832517</f>
        <v>777.83251700000005</v>
      </c>
      <c r="L89" s="23">
        <f>M89/E89/F89/10</f>
        <v>522.25897529999997</v>
      </c>
      <c r="M89" s="17">
        <f>SUM(G89:K89)</f>
        <v>5222.5897529999993</v>
      </c>
    </row>
    <row r="90" spans="1:13">
      <c r="A90" s="11">
        <v>87</v>
      </c>
      <c r="B90" s="12" t="s">
        <v>230</v>
      </c>
      <c r="C90" s="13" t="s">
        <v>231</v>
      </c>
      <c r="D90" s="13" t="s">
        <v>232</v>
      </c>
      <c r="E90" s="14">
        <v>1</v>
      </c>
      <c r="F90" s="15">
        <v>1</v>
      </c>
      <c r="G90" s="16">
        <f>E90 * F90 * 104.80089</f>
        <v>104.80089</v>
      </c>
      <c r="H90" s="16">
        <f>E90 * F90 * 41.638723</f>
        <v>41.638722999999999</v>
      </c>
      <c r="I90" s="16">
        <f t="shared" si="7"/>
        <v>0</v>
      </c>
      <c r="J90" s="16">
        <f>E90 * F90 * 105.010492</f>
        <v>105.010492</v>
      </c>
      <c r="K90" s="16">
        <f>E90 * F90 * 44.003768</f>
        <v>44.003768000000001</v>
      </c>
      <c r="L90" s="23">
        <f>M90/E90/F90</f>
        <v>295.45387299999999</v>
      </c>
      <c r="M90" s="17">
        <f>SUM(G90:K90)</f>
        <v>295.45387299999999</v>
      </c>
    </row>
    <row r="91" spans="1:13" ht="25.5">
      <c r="A91" s="11">
        <v>88</v>
      </c>
      <c r="B91" s="12" t="s">
        <v>233</v>
      </c>
      <c r="C91" s="13" t="s">
        <v>234</v>
      </c>
      <c r="D91" s="13" t="s">
        <v>188</v>
      </c>
      <c r="E91" s="14">
        <v>1</v>
      </c>
      <c r="F91" s="15">
        <v>1</v>
      </c>
      <c r="G91" s="16">
        <f>E91 * F91 * 1041.222468</f>
        <v>1041.2224679999999</v>
      </c>
      <c r="H91" s="16">
        <f>E91 * F91 * 315.519597</f>
        <v>315.51959699999998</v>
      </c>
      <c r="I91" s="16">
        <f t="shared" si="7"/>
        <v>0</v>
      </c>
      <c r="J91" s="16">
        <f>E91 * F91 * 1043.304913</f>
        <v>1043.3049129999999</v>
      </c>
      <c r="K91" s="16">
        <f>E91 * F91 * 420.008221</f>
        <v>420.00822099999999</v>
      </c>
      <c r="L91" s="23">
        <f>M91/E91/F91/10</f>
        <v>282.00551989999997</v>
      </c>
      <c r="M91" s="17">
        <f>SUM(G91:K91)</f>
        <v>2820.0551989999999</v>
      </c>
    </row>
    <row r="92" spans="1:13" ht="25.5">
      <c r="A92" s="11">
        <v>89</v>
      </c>
      <c r="B92" s="12" t="s">
        <v>235</v>
      </c>
      <c r="C92" s="13" t="s">
        <v>236</v>
      </c>
      <c r="D92" s="13" t="s">
        <v>188</v>
      </c>
      <c r="E92" s="14">
        <v>1</v>
      </c>
      <c r="F92" s="15">
        <v>1</v>
      </c>
      <c r="G92" s="16">
        <f>E92 * F92 * 922.901733</f>
        <v>922.90173300000004</v>
      </c>
      <c r="H92" s="16">
        <f>E92 * F92 * 315.519597</f>
        <v>315.51959699999998</v>
      </c>
      <c r="I92" s="16">
        <f t="shared" si="7"/>
        <v>0</v>
      </c>
      <c r="J92" s="16">
        <f>E92 * F92 * 924.747536</f>
        <v>924.74753599999997</v>
      </c>
      <c r="K92" s="16">
        <f>E92 * F92 * 378.554552</f>
        <v>378.554552</v>
      </c>
      <c r="L92" s="23">
        <f>M92/E92/F92/10</f>
        <v>254.1723418</v>
      </c>
      <c r="M92" s="17">
        <f>SUM(G92:K92)</f>
        <v>2541.723418</v>
      </c>
    </row>
    <row r="93" spans="1:13">
      <c r="A93" s="11">
        <v>90</v>
      </c>
      <c r="B93" s="12" t="s">
        <v>237</v>
      </c>
      <c r="C93" s="13" t="s">
        <v>238</v>
      </c>
      <c r="D93" s="13" t="s">
        <v>193</v>
      </c>
      <c r="E93" s="14">
        <v>1</v>
      </c>
      <c r="F93" s="15">
        <v>1</v>
      </c>
      <c r="G93" s="16">
        <f>E93 * F93 * 12.576107</f>
        <v>12.576107</v>
      </c>
      <c r="H93" s="16">
        <f>E93 * F93 * 1.906378</f>
        <v>1.9063779999999999</v>
      </c>
      <c r="I93" s="16">
        <f t="shared" si="7"/>
        <v>0</v>
      </c>
      <c r="J93" s="16">
        <f>E93 * F93 * 12.6012589999999</f>
        <v>12.601258999999899</v>
      </c>
      <c r="K93" s="16">
        <f>E93 * F93 * 4.739655</f>
        <v>4.739655</v>
      </c>
      <c r="L93" s="23">
        <f>M93/E93/F93</f>
        <v>31.823398999999899</v>
      </c>
      <c r="M93" s="17">
        <f>SUM(G93:K93)</f>
        <v>31.823398999999899</v>
      </c>
    </row>
    <row r="94" spans="1:13">
      <c r="A94" s="11">
        <v>91</v>
      </c>
      <c r="B94" s="12" t="s">
        <v>239</v>
      </c>
      <c r="C94" s="13" t="s">
        <v>240</v>
      </c>
      <c r="D94" s="13" t="s">
        <v>241</v>
      </c>
      <c r="E94" s="14">
        <v>1</v>
      </c>
      <c r="F94" s="15">
        <v>1</v>
      </c>
      <c r="G94" s="16">
        <f>E94 * F94 * 690.30738</f>
        <v>690.30737999999997</v>
      </c>
      <c r="H94" s="16">
        <f>E94 * F94 * 4076.593923</f>
        <v>4076.5939229999999</v>
      </c>
      <c r="I94" s="16">
        <f t="shared" si="7"/>
        <v>0</v>
      </c>
      <c r="J94" s="16">
        <f>E94 * F94 * 691.687995</f>
        <v>691.687995</v>
      </c>
      <c r="K94" s="16">
        <f>E94 * F94 * 955.253127</f>
        <v>955.25312699999995</v>
      </c>
      <c r="L94" s="23">
        <f>M94/E94/F94/10</f>
        <v>641.38424250000003</v>
      </c>
      <c r="M94" s="17">
        <f>SUM(G94:K94)</f>
        <v>6413.8424249999998</v>
      </c>
    </row>
    <row r="95" spans="1:13">
      <c r="A95" s="11">
        <v>92</v>
      </c>
      <c r="B95" s="12" t="s">
        <v>242</v>
      </c>
      <c r="C95" s="13" t="s">
        <v>243</v>
      </c>
      <c r="D95" s="13" t="s">
        <v>244</v>
      </c>
      <c r="E95" s="14">
        <v>1</v>
      </c>
      <c r="F95" s="15">
        <v>1</v>
      </c>
      <c r="G95" s="16">
        <f>E95 * F95 * 3144.0267</f>
        <v>3144.0266999999999</v>
      </c>
      <c r="H95" s="16">
        <f>E95 * F95 * 17183.59866</f>
        <v>17183.59866</v>
      </c>
      <c r="I95" s="16">
        <f t="shared" si="7"/>
        <v>0</v>
      </c>
      <c r="J95" s="16">
        <f>E95 * F95 * 3150.314753</f>
        <v>3150.3147530000001</v>
      </c>
      <c r="K95" s="16">
        <f>E95 * F95 * 4108.63952</f>
        <v>4108.6395199999997</v>
      </c>
      <c r="L95" s="23">
        <f t="shared" si="5"/>
        <v>275.86579632999997</v>
      </c>
      <c r="M95" s="17">
        <f>SUM(G95:K95)</f>
        <v>27586.579632999998</v>
      </c>
    </row>
    <row r="96" spans="1:13">
      <c r="A96" s="11">
        <v>93</v>
      </c>
      <c r="B96" s="12" t="s">
        <v>245</v>
      </c>
      <c r="C96" s="13" t="s">
        <v>246</v>
      </c>
      <c r="D96" s="13" t="s">
        <v>247</v>
      </c>
      <c r="E96" s="14">
        <v>1</v>
      </c>
      <c r="F96" s="15">
        <v>1</v>
      </c>
      <c r="G96" s="16">
        <f>E96 * F96 * 8124.164993</f>
        <v>8124.1649930000003</v>
      </c>
      <c r="H96" s="16">
        <f>E96 * F96 * 7341.942596</f>
        <v>7341.9425959999999</v>
      </c>
      <c r="I96" s="16">
        <f t="shared" si="7"/>
        <v>0</v>
      </c>
      <c r="J96" s="16">
        <f>E96 * F96 * 8140.413323</f>
        <v>8140.4133229999998</v>
      </c>
      <c r="K96" s="16">
        <f>E96 * F96 * 4131.141159</f>
        <v>4131.1411589999998</v>
      </c>
      <c r="L96" s="23">
        <f t="shared" si="5"/>
        <v>277.37662071</v>
      </c>
      <c r="M96" s="17">
        <f>SUM(G96:K96)</f>
        <v>27737.662070999999</v>
      </c>
    </row>
    <row r="97" spans="1:13">
      <c r="A97" s="11">
        <v>94</v>
      </c>
      <c r="B97" s="12" t="s">
        <v>248</v>
      </c>
      <c r="C97" s="13" t="s">
        <v>249</v>
      </c>
      <c r="D97" s="13" t="s">
        <v>84</v>
      </c>
      <c r="E97" s="14">
        <v>1</v>
      </c>
      <c r="F97" s="15">
        <v>1</v>
      </c>
      <c r="G97" s="16">
        <f>E97 * F97 * 16254.830115</f>
        <v>16254.830115000001</v>
      </c>
      <c r="H97" s="16">
        <f>E97 * F97 * 3565.868888</f>
        <v>3565.868888</v>
      </c>
      <c r="I97" s="16">
        <f t="shared" si="7"/>
        <v>0</v>
      </c>
      <c r="J97" s="16">
        <f>E97 * F97 * 16287.339776</f>
        <v>16287.339776000001</v>
      </c>
      <c r="K97" s="16">
        <f>E97 * F97 * 6318.906786</f>
        <v>6318.9067859999996</v>
      </c>
      <c r="L97" s="23">
        <f t="shared" si="5"/>
        <v>424.26945565</v>
      </c>
      <c r="M97" s="17">
        <f>SUM(G97:K97)</f>
        <v>42426.945565000002</v>
      </c>
    </row>
    <row r="98" spans="1:13">
      <c r="A98" s="11">
        <v>95</v>
      </c>
      <c r="B98" s="12" t="s">
        <v>250</v>
      </c>
      <c r="C98" s="13" t="s">
        <v>251</v>
      </c>
      <c r="D98" s="13" t="s">
        <v>84</v>
      </c>
      <c r="E98" s="14">
        <v>1</v>
      </c>
      <c r="F98" s="15">
        <v>1</v>
      </c>
      <c r="G98" s="16">
        <f>E98 * F98 * 21205.47924</f>
        <v>21205.479240000001</v>
      </c>
      <c r="H98" s="16">
        <f>E98 * F98 * 5441.378503</f>
        <v>5441.3785029999999</v>
      </c>
      <c r="I98" s="16">
        <f t="shared" si="7"/>
        <v>0</v>
      </c>
      <c r="J98" s="16">
        <f>E98 * F98 * 21247.890198</f>
        <v>21247.890198000001</v>
      </c>
      <c r="K98" s="16">
        <f>E98 * F98 * 8381.58089</f>
        <v>8381.5808899999993</v>
      </c>
      <c r="L98" s="23">
        <f t="shared" si="5"/>
        <v>562.76328831000001</v>
      </c>
      <c r="M98" s="17">
        <f>SUM(G98:K98)</f>
        <v>56276.328830999999</v>
      </c>
    </row>
    <row r="99" spans="1:13">
      <c r="A99" s="11">
        <v>96</v>
      </c>
      <c r="B99" s="12" t="s">
        <v>252</v>
      </c>
      <c r="C99" s="13" t="s">
        <v>253</v>
      </c>
      <c r="D99" s="13" t="s">
        <v>254</v>
      </c>
      <c r="E99" s="14">
        <v>1</v>
      </c>
      <c r="F99" s="15">
        <v>1</v>
      </c>
      <c r="G99" s="16">
        <f>E99 * F99 * 4381.016524</f>
        <v>4381.0165239999997</v>
      </c>
      <c r="H99" s="16">
        <f>E99 * F99 * 63501.497033</f>
        <v>63501.497033</v>
      </c>
      <c r="I99" s="16">
        <f>E99 * F99 * 138.025615</f>
        <v>138.02561499999999</v>
      </c>
      <c r="J99" s="16">
        <f>E99 * F99 * 4489.267338</f>
        <v>4489.2673379999997</v>
      </c>
      <c r="K99" s="16">
        <f>E99 * F99 * 12689.216139</f>
        <v>12689.216139</v>
      </c>
      <c r="L99" s="23">
        <f t="shared" si="5"/>
        <v>851.99022649000005</v>
      </c>
      <c r="M99" s="17">
        <f>SUM(G99:K99)</f>
        <v>85199.022649000006</v>
      </c>
    </row>
    <row r="100" spans="1:13">
      <c r="A100" s="11">
        <v>97</v>
      </c>
      <c r="B100" s="12" t="s">
        <v>255</v>
      </c>
      <c r="C100" s="13" t="s">
        <v>256</v>
      </c>
      <c r="D100" s="13" t="s">
        <v>254</v>
      </c>
      <c r="E100" s="14">
        <v>1</v>
      </c>
      <c r="F100" s="15">
        <v>1</v>
      </c>
      <c r="G100" s="16">
        <f>E100 * F100 * 2493.114558</f>
        <v>2493.1145580000002</v>
      </c>
      <c r="H100" s="16">
        <f>E100 * F100 * 32848.779316</f>
        <v>32848.779316</v>
      </c>
      <c r="I100" s="16">
        <f>E100 * F100 * 71.764966</f>
        <v>71.764966000000001</v>
      </c>
      <c r="J100" s="16">
        <f>E100 * F100 * 2549.834953</f>
        <v>2549.834953</v>
      </c>
      <c r="K100" s="16">
        <f>E100 * F100 * 6643.611413</f>
        <v>6643.6114129999996</v>
      </c>
      <c r="L100" s="23">
        <f t="shared" si="5"/>
        <v>446.07105206</v>
      </c>
      <c r="M100" s="17">
        <f>SUM(G100:K100)</f>
        <v>44607.105206</v>
      </c>
    </row>
    <row r="101" spans="1:13" ht="25.5">
      <c r="A101" s="11">
        <v>98</v>
      </c>
      <c r="B101" s="12" t="s">
        <v>257</v>
      </c>
      <c r="C101" s="13" t="s">
        <v>258</v>
      </c>
      <c r="D101" s="13" t="s">
        <v>259</v>
      </c>
      <c r="E101" s="14">
        <v>1</v>
      </c>
      <c r="F101" s="15">
        <v>1</v>
      </c>
      <c r="G101" s="16">
        <f>E101 * F101 * 1159.543203</f>
        <v>1159.5432029999999</v>
      </c>
      <c r="H101" s="16">
        <f>E101 * F101 * 148.307311</f>
        <v>148.307311</v>
      </c>
      <c r="I101" s="16">
        <f t="shared" ref="I101:I114" si="8">E101 * F101 * 0</f>
        <v>0</v>
      </c>
      <c r="J101" s="16">
        <f>E101 * F101 * 1161.862289</f>
        <v>1161.8622889999999</v>
      </c>
      <c r="K101" s="16">
        <f>E101 * F101 * 432.19974</f>
        <v>432.19974000000002</v>
      </c>
      <c r="L101" s="23">
        <f>M101/E101/F101</f>
        <v>2901.9125429999999</v>
      </c>
      <c r="M101" s="17">
        <f>SUM(G101:K101)</f>
        <v>2901.9125429999999</v>
      </c>
    </row>
    <row r="102" spans="1:13" ht="25.5">
      <c r="A102" s="11">
        <v>99</v>
      </c>
      <c r="B102" s="12" t="s">
        <v>260</v>
      </c>
      <c r="C102" s="13" t="s">
        <v>261</v>
      </c>
      <c r="D102" s="13" t="s">
        <v>262</v>
      </c>
      <c r="E102" s="14">
        <v>1</v>
      </c>
      <c r="F102" s="15">
        <v>1</v>
      </c>
      <c r="G102" s="16">
        <f>E102 * F102 * 1171.375277</f>
        <v>1171.3752770000001</v>
      </c>
      <c r="H102" s="16">
        <f>E102 * F102 * 4062.095953</f>
        <v>4062.095953</v>
      </c>
      <c r="I102" s="16">
        <f t="shared" si="8"/>
        <v>0</v>
      </c>
      <c r="J102" s="16">
        <f>E102 * F102 * 1173.718028</f>
        <v>1173.718028</v>
      </c>
      <c r="K102" s="16">
        <f>E102 * F102 * 1121.25812</f>
        <v>1121.25812</v>
      </c>
      <c r="L102" s="23">
        <f t="shared" ref="L102:L109" si="9">M102/E102/F102</f>
        <v>7528.4473780000008</v>
      </c>
      <c r="M102" s="17">
        <f>SUM(G102:K102)</f>
        <v>7528.4473780000008</v>
      </c>
    </row>
    <row r="103" spans="1:13">
      <c r="A103" s="11">
        <v>100</v>
      </c>
      <c r="B103" s="12" t="s">
        <v>263</v>
      </c>
      <c r="C103" s="13" t="s">
        <v>264</v>
      </c>
      <c r="D103" s="13" t="s">
        <v>221</v>
      </c>
      <c r="E103" s="14">
        <v>1</v>
      </c>
      <c r="F103" s="15">
        <v>1</v>
      </c>
      <c r="G103" s="16">
        <f>E103 * F103 * 492.64972</f>
        <v>492.64972</v>
      </c>
      <c r="H103" s="16">
        <f>E103 * F103 * 3833.103119</f>
        <v>3833.1031189999999</v>
      </c>
      <c r="I103" s="16">
        <f t="shared" si="8"/>
        <v>0</v>
      </c>
      <c r="J103" s="16">
        <f>E103 * F103 * 493.635019</f>
        <v>493.635019</v>
      </c>
      <c r="K103" s="16">
        <f>E103 * F103 * 843.392875</f>
        <v>843.392875</v>
      </c>
      <c r="L103" s="23">
        <f t="shared" si="9"/>
        <v>5662.7807329999996</v>
      </c>
      <c r="M103" s="17">
        <f>SUM(G103:K103)</f>
        <v>5662.7807329999996</v>
      </c>
    </row>
    <row r="104" spans="1:13">
      <c r="A104" s="11">
        <v>101</v>
      </c>
      <c r="B104" s="12" t="s">
        <v>265</v>
      </c>
      <c r="C104" s="13" t="s">
        <v>266</v>
      </c>
      <c r="D104" s="13" t="s">
        <v>221</v>
      </c>
      <c r="E104" s="14">
        <v>1</v>
      </c>
      <c r="F104" s="15">
        <v>1</v>
      </c>
      <c r="G104" s="16">
        <f>E104 * F104 * 552.595829</f>
        <v>552.59582899999998</v>
      </c>
      <c r="H104" s="16">
        <f>E104 * F104 * 3833.103119</f>
        <v>3833.1031189999999</v>
      </c>
      <c r="I104" s="16">
        <f t="shared" si="8"/>
        <v>0</v>
      </c>
      <c r="J104" s="16">
        <f>E104 * F104 * 553.70102</f>
        <v>553.70101999999997</v>
      </c>
      <c r="K104" s="16">
        <f>E104 * F104 * 864.394995</f>
        <v>864.39499499999999</v>
      </c>
      <c r="L104" s="23">
        <f t="shared" si="9"/>
        <v>5803.7949629999994</v>
      </c>
      <c r="M104" s="17">
        <f>SUM(G104:K104)</f>
        <v>5803.7949629999994</v>
      </c>
    </row>
    <row r="105" spans="1:13">
      <c r="A105" s="11">
        <v>102</v>
      </c>
      <c r="B105" s="12" t="s">
        <v>267</v>
      </c>
      <c r="C105" s="13" t="s">
        <v>268</v>
      </c>
      <c r="D105" s="13" t="s">
        <v>221</v>
      </c>
      <c r="E105" s="14">
        <v>1</v>
      </c>
      <c r="F105" s="15">
        <v>1</v>
      </c>
      <c r="G105" s="16">
        <f>E105 * F105 * 466.6591</f>
        <v>466.65910000000002</v>
      </c>
      <c r="H105" s="16">
        <f>E105 * F105 * 3833.103119</f>
        <v>3833.1031189999999</v>
      </c>
      <c r="I105" s="16">
        <f t="shared" si="8"/>
        <v>0</v>
      </c>
      <c r="J105" s="16">
        <f>E105 * F105 * 467.592417999999</f>
        <v>467.59241799999899</v>
      </c>
      <c r="K105" s="16">
        <f>E105 * F105 * 834.287062</f>
        <v>834.28706199999999</v>
      </c>
      <c r="L105" s="23">
        <f t="shared" si="9"/>
        <v>5601.6416989999998</v>
      </c>
      <c r="M105" s="17">
        <f>SUM(G105:K105)</f>
        <v>5601.6416989999998</v>
      </c>
    </row>
    <row r="106" spans="1:13">
      <c r="A106" s="11">
        <v>103</v>
      </c>
      <c r="B106" s="12" t="s">
        <v>269</v>
      </c>
      <c r="C106" s="13" t="s">
        <v>270</v>
      </c>
      <c r="D106" s="13" t="s">
        <v>221</v>
      </c>
      <c r="E106" s="14">
        <v>1</v>
      </c>
      <c r="F106" s="15">
        <v>1</v>
      </c>
      <c r="G106" s="16">
        <f>E106 * F106 * 509.417863</f>
        <v>509.41786300000001</v>
      </c>
      <c r="H106" s="16">
        <f>E106 * F106 * 3833.103119</f>
        <v>3833.1031189999999</v>
      </c>
      <c r="I106" s="16">
        <f t="shared" si="8"/>
        <v>0</v>
      </c>
      <c r="J106" s="16">
        <f>E106 * F106 * 510.436699</f>
        <v>510.43669899999998</v>
      </c>
      <c r="K106" s="16">
        <f>E106 * F106 * 849.267594</f>
        <v>849.26759400000003</v>
      </c>
      <c r="L106" s="23">
        <f t="shared" si="9"/>
        <v>5702.2252749999998</v>
      </c>
      <c r="M106" s="17">
        <f>SUM(G106:K106)</f>
        <v>5702.2252749999998</v>
      </c>
    </row>
    <row r="107" spans="1:13" ht="25.5">
      <c r="A107" s="11">
        <v>104</v>
      </c>
      <c r="B107" s="12" t="s">
        <v>271</v>
      </c>
      <c r="C107" s="13" t="s">
        <v>272</v>
      </c>
      <c r="D107" s="13" t="s">
        <v>273</v>
      </c>
      <c r="E107" s="14">
        <v>1</v>
      </c>
      <c r="F107" s="15">
        <v>1</v>
      </c>
      <c r="G107" s="16">
        <f>E107 * F107 * 125.761068</f>
        <v>125.76106799999999</v>
      </c>
      <c r="H107" s="16">
        <f>E107 * F107 * 1206.27144</f>
        <v>1206.27144</v>
      </c>
      <c r="I107" s="16">
        <f t="shared" si="8"/>
        <v>0</v>
      </c>
      <c r="J107" s="16">
        <f>E107 * F107 * 126.012591</f>
        <v>126.012591</v>
      </c>
      <c r="K107" s="16">
        <f>E107 * F107 * 255.157892</f>
        <v>255.157892</v>
      </c>
      <c r="L107" s="23">
        <f t="shared" si="9"/>
        <v>1713.2029909999999</v>
      </c>
      <c r="M107" s="17">
        <f>SUM(G107:K107)</f>
        <v>1713.2029909999999</v>
      </c>
    </row>
    <row r="108" spans="1:13" ht="25.5">
      <c r="A108" s="11">
        <v>105</v>
      </c>
      <c r="B108" s="12" t="s">
        <v>274</v>
      </c>
      <c r="C108" s="13" t="s">
        <v>275</v>
      </c>
      <c r="D108" s="13" t="s">
        <v>273</v>
      </c>
      <c r="E108" s="14">
        <v>1</v>
      </c>
      <c r="F108" s="15">
        <v>1</v>
      </c>
      <c r="G108" s="16">
        <f>E108 * F108 * 138.337175</f>
        <v>138.337175</v>
      </c>
      <c r="H108" s="16">
        <f>E108 * F108 * 1206.27144</f>
        <v>1206.27144</v>
      </c>
      <c r="I108" s="16">
        <f t="shared" si="8"/>
        <v>0</v>
      </c>
      <c r="J108" s="16">
        <f>E108 * F108 * 138.61385</f>
        <v>138.61385000000001</v>
      </c>
      <c r="K108" s="16">
        <f>E108 * F108 * 259.563931</f>
        <v>259.56393100000003</v>
      </c>
      <c r="L108" s="23">
        <f t="shared" si="9"/>
        <v>1742.786396</v>
      </c>
      <c r="M108" s="17">
        <f>SUM(G108:K108)</f>
        <v>1742.786396</v>
      </c>
    </row>
    <row r="109" spans="1:13" ht="25.5">
      <c r="A109" s="11">
        <v>106</v>
      </c>
      <c r="B109" s="12" t="s">
        <v>276</v>
      </c>
      <c r="C109" s="13" t="s">
        <v>277</v>
      </c>
      <c r="D109" s="13" t="s">
        <v>273</v>
      </c>
      <c r="E109" s="14">
        <v>1</v>
      </c>
      <c r="F109" s="15">
        <v>1</v>
      </c>
      <c r="G109" s="16">
        <f>E109 * F109 * 153.009299</f>
        <v>153.009299</v>
      </c>
      <c r="H109" s="16">
        <f>E109 * F109 * 1190.44728</f>
        <v>1190.4472800000001</v>
      </c>
      <c r="I109" s="16">
        <f t="shared" si="8"/>
        <v>0</v>
      </c>
      <c r="J109" s="16">
        <f>E109 * F109 * 153.315317</f>
        <v>153.31531699999999</v>
      </c>
      <c r="K109" s="16">
        <f>E109 * F109 * 261.935081999999</f>
        <v>261.935081999999</v>
      </c>
      <c r="L109" s="23">
        <f t="shared" si="9"/>
        <v>1758.7069779999993</v>
      </c>
      <c r="M109" s="17">
        <f>SUM(G109:K109)</f>
        <v>1758.7069779999993</v>
      </c>
    </row>
    <row r="110" spans="1:13" ht="38.25">
      <c r="A110" s="11">
        <v>107</v>
      </c>
      <c r="B110" s="12" t="s">
        <v>278</v>
      </c>
      <c r="C110" s="13" t="s">
        <v>279</v>
      </c>
      <c r="D110" s="13" t="s">
        <v>280</v>
      </c>
      <c r="E110" s="14">
        <v>1</v>
      </c>
      <c r="F110" s="15">
        <v>1</v>
      </c>
      <c r="G110" s="16">
        <f>E110 * F110 * 108547.000464</f>
        <v>108547.000464</v>
      </c>
      <c r="H110" s="16">
        <f>E110 * F110 * 1120046.074362</f>
        <v>1120046.074362</v>
      </c>
      <c r="I110" s="16">
        <f t="shared" si="8"/>
        <v>0</v>
      </c>
      <c r="J110" s="16">
        <f>E110 * F110 * 108764.094465</f>
        <v>108764.094465</v>
      </c>
      <c r="K110" s="16">
        <f>E110 * F110 * 234037.504626</f>
        <v>234037.50462600001</v>
      </c>
      <c r="L110" s="23">
        <f t="shared" si="5"/>
        <v>15713.946739170002</v>
      </c>
      <c r="M110" s="17">
        <f>SUM(G110:K110)</f>
        <v>1571394.6739170002</v>
      </c>
    </row>
    <row r="111" spans="1:13">
      <c r="A111" s="11">
        <v>108</v>
      </c>
      <c r="B111" s="12" t="s">
        <v>281</v>
      </c>
      <c r="C111" s="13" t="s">
        <v>282</v>
      </c>
      <c r="D111" s="13" t="s">
        <v>283</v>
      </c>
      <c r="E111" s="14">
        <v>1</v>
      </c>
      <c r="F111" s="15">
        <v>1</v>
      </c>
      <c r="G111" s="16">
        <f>E111 * F111 * 14919.4547</f>
        <v>14919.4547</v>
      </c>
      <c r="H111" s="16">
        <f>E111 * F111 * 116532.163248</f>
        <v>116532.163248</v>
      </c>
      <c r="I111" s="16">
        <f t="shared" si="8"/>
        <v>0</v>
      </c>
      <c r="J111" s="16">
        <f>E111 * F111 * 14949.293609</f>
        <v>14949.293609</v>
      </c>
      <c r="K111" s="16">
        <f>E111 * F111 * 25620.159523</f>
        <v>25620.159522999998</v>
      </c>
      <c r="L111" s="23">
        <f t="shared" si="5"/>
        <v>1720.2107108000002</v>
      </c>
      <c r="M111" s="17">
        <f>SUM(G111:K111)</f>
        <v>172021.07108000002</v>
      </c>
    </row>
    <row r="112" spans="1:13">
      <c r="A112" s="11">
        <v>109</v>
      </c>
      <c r="B112" s="12" t="s">
        <v>284</v>
      </c>
      <c r="C112" s="13" t="s">
        <v>285</v>
      </c>
      <c r="D112" s="13" t="s">
        <v>286</v>
      </c>
      <c r="E112" s="14">
        <v>1</v>
      </c>
      <c r="F112" s="15">
        <v>1</v>
      </c>
      <c r="G112" s="16">
        <f>E112 * F112 * 24288.654266</f>
        <v>24288.654266000001</v>
      </c>
      <c r="H112" s="16">
        <f>E112 * F112 * 34678.036638</f>
        <v>34678.036637999998</v>
      </c>
      <c r="I112" s="16">
        <f t="shared" si="8"/>
        <v>0</v>
      </c>
      <c r="J112" s="16">
        <f>E112 * F112 * 24337.2315739999</f>
        <v>24337.231573999899</v>
      </c>
      <c r="K112" s="16">
        <f>E112 * F112 * 14578.186434</f>
        <v>14578.186433999999</v>
      </c>
      <c r="L112" s="23">
        <f t="shared" si="5"/>
        <v>978.8210891199991</v>
      </c>
      <c r="M112" s="17">
        <f>SUM(G112:K112)</f>
        <v>97882.108911999909</v>
      </c>
    </row>
    <row r="113" spans="1:13">
      <c r="A113" s="11">
        <v>110</v>
      </c>
      <c r="B113" s="12" t="s">
        <v>287</v>
      </c>
      <c r="C113" s="13" t="s">
        <v>288</v>
      </c>
      <c r="D113" s="13" t="s">
        <v>84</v>
      </c>
      <c r="E113" s="14">
        <v>1</v>
      </c>
      <c r="F113" s="15">
        <v>1</v>
      </c>
      <c r="G113" s="16">
        <f>E113 * F113 * 16012.011048</f>
        <v>16012.011048</v>
      </c>
      <c r="H113" s="16">
        <f>E113 * F113 * 73173.630995</f>
        <v>73173.630995</v>
      </c>
      <c r="I113" s="16">
        <f t="shared" si="8"/>
        <v>0</v>
      </c>
      <c r="J113" s="16">
        <f>E113 * F113 * 16044.03507</f>
        <v>16044.03507</v>
      </c>
      <c r="K113" s="16">
        <f>E113 * F113 * 18415.193494</f>
        <v>18415.193493999999</v>
      </c>
      <c r="L113" s="23">
        <f t="shared" si="5"/>
        <v>1236.4487060699998</v>
      </c>
      <c r="M113" s="17">
        <f>SUM(G113:K113)</f>
        <v>123644.87060699999</v>
      </c>
    </row>
    <row r="114" spans="1:13" ht="25.5">
      <c r="A114" s="11">
        <v>111</v>
      </c>
      <c r="B114" s="12" t="s">
        <v>289</v>
      </c>
      <c r="C114" s="13" t="s">
        <v>290</v>
      </c>
      <c r="D114" s="13" t="s">
        <v>291</v>
      </c>
      <c r="E114" s="14">
        <v>1</v>
      </c>
      <c r="F114" s="15">
        <v>1</v>
      </c>
      <c r="G114" s="16">
        <f>E114 * F114 * 231.413266</f>
        <v>231.41326599999999</v>
      </c>
      <c r="H114" s="16">
        <f>E114 * F114 * 750.675654</f>
        <v>750.67565400000001</v>
      </c>
      <c r="I114" s="16">
        <f t="shared" si="8"/>
        <v>0</v>
      </c>
      <c r="J114" s="16">
        <f>E114 * F114 * 231.876092</f>
        <v>231.876092</v>
      </c>
      <c r="K114" s="16">
        <f>E114 * F114 * 212.443877</f>
        <v>212.44387699999999</v>
      </c>
      <c r="L114" s="23">
        <f>M114/E114/F114</f>
        <v>1426.408889</v>
      </c>
      <c r="M114" s="17">
        <f>SUM(G114:K114)</f>
        <v>1426.408889</v>
      </c>
    </row>
    <row r="115" spans="1:13" ht="25.5">
      <c r="A115" s="11">
        <v>112</v>
      </c>
      <c r="B115" s="12" t="s">
        <v>292</v>
      </c>
      <c r="C115" s="13" t="s">
        <v>293</v>
      </c>
      <c r="D115" s="13" t="s">
        <v>294</v>
      </c>
      <c r="E115" s="14">
        <v>1</v>
      </c>
      <c r="F115" s="15">
        <v>1</v>
      </c>
      <c r="G115" s="16">
        <f>E115 * F115 * 84433.187307</f>
        <v>84433.187307</v>
      </c>
      <c r="H115" s="16">
        <f>E115 * F115 * 20476.040112</f>
        <v>20476.040111999999</v>
      </c>
      <c r="I115" s="16">
        <f>E115 * F115 * 573.898052</f>
        <v>573.89805200000001</v>
      </c>
      <c r="J115" s="16">
        <f>E115 * F115 * 85063.681622</f>
        <v>85063.681622000004</v>
      </c>
      <c r="K115" s="16">
        <f>E115 * F115 * 33345.691241</f>
        <v>33345.691241</v>
      </c>
      <c r="L115" s="23">
        <f t="shared" si="5"/>
        <v>2238.9249833399999</v>
      </c>
      <c r="M115" s="17">
        <f>SUM(G115:K115)</f>
        <v>223892.498334</v>
      </c>
    </row>
    <row r="116" spans="1:13" ht="25.5">
      <c r="A116" s="11">
        <v>113</v>
      </c>
      <c r="B116" s="12" t="s">
        <v>295</v>
      </c>
      <c r="C116" s="13" t="s">
        <v>296</v>
      </c>
      <c r="D116" s="13" t="s">
        <v>297</v>
      </c>
      <c r="E116" s="14">
        <v>1</v>
      </c>
      <c r="F116" s="15">
        <v>1</v>
      </c>
      <c r="G116" s="16">
        <f>E116 * F116 * 47.328294</f>
        <v>47.328294</v>
      </c>
      <c r="H116" s="16">
        <f>E116 * F116 * 467.208701</f>
        <v>467.20870100000002</v>
      </c>
      <c r="I116" s="16">
        <f>E116 * F116 * 1.430611</f>
        <v>1.4306110000000001</v>
      </c>
      <c r="J116" s="16">
        <f>E116 * F116 * 47.422951</f>
        <v>47.422950999999998</v>
      </c>
      <c r="K116" s="16">
        <f>E116 * F116 * 98.5933479999999</f>
        <v>98.593347999999907</v>
      </c>
      <c r="L116" s="23">
        <f>M116/E116/F116</f>
        <v>661.98390499999994</v>
      </c>
      <c r="M116" s="17">
        <f>SUM(G116:K116)</f>
        <v>661.98390499999994</v>
      </c>
    </row>
    <row r="117" spans="1:13" ht="38.25">
      <c r="A117" s="11">
        <v>114</v>
      </c>
      <c r="B117" s="12" t="s">
        <v>298</v>
      </c>
      <c r="C117" s="13" t="s">
        <v>299</v>
      </c>
      <c r="D117" s="13" t="s">
        <v>300</v>
      </c>
      <c r="E117" s="14">
        <v>1</v>
      </c>
      <c r="F117" s="15">
        <v>1</v>
      </c>
      <c r="G117" s="16">
        <f>E117 * F117 * 42839.352</f>
        <v>42839.351999999999</v>
      </c>
      <c r="H117" s="16">
        <f>E117 * F117 * 29522.367639</f>
        <v>29522.367639</v>
      </c>
      <c r="I117" s="16">
        <f t="shared" ref="I117:I148" si="10">E117 * F117 * 0</f>
        <v>0</v>
      </c>
      <c r="J117" s="16">
        <f>E117 * F117 * 42925.030704</f>
        <v>42925.030703999997</v>
      </c>
      <c r="K117" s="16">
        <f>E117 * F117 * 20175.18131</f>
        <v>20175.18131</v>
      </c>
      <c r="L117" s="23">
        <f t="shared" si="5"/>
        <v>1354.6193165300001</v>
      </c>
      <c r="M117" s="17">
        <f>SUM(G117:K117)</f>
        <v>135461.93165300001</v>
      </c>
    </row>
    <row r="118" spans="1:13">
      <c r="A118" s="11">
        <v>115</v>
      </c>
      <c r="B118" s="12" t="s">
        <v>301</v>
      </c>
      <c r="C118" s="13" t="s">
        <v>302</v>
      </c>
      <c r="D118" s="13" t="s">
        <v>303</v>
      </c>
      <c r="E118" s="14">
        <v>1</v>
      </c>
      <c r="F118" s="15">
        <v>1</v>
      </c>
      <c r="G118" s="16">
        <f>E118 * F118 * 12576.1068</f>
        <v>12576.1068</v>
      </c>
      <c r="H118" s="16">
        <f>E118 * F118 * 16218.003241</f>
        <v>16218.003241</v>
      </c>
      <c r="I118" s="16">
        <f t="shared" si="10"/>
        <v>0</v>
      </c>
      <c r="J118" s="16">
        <f>E118 * F118 * 12601.259014</f>
        <v>12601.259013999999</v>
      </c>
      <c r="K118" s="16">
        <f>E118 * F118 * 7244.189584</f>
        <v>7244.1895839999997</v>
      </c>
      <c r="L118" s="23">
        <f t="shared" si="5"/>
        <v>486.39558639000001</v>
      </c>
      <c r="M118" s="17">
        <f>SUM(G118:K118)</f>
        <v>48639.558639000003</v>
      </c>
    </row>
    <row r="119" spans="1:13" ht="25.5">
      <c r="A119" s="11">
        <v>116</v>
      </c>
      <c r="B119" s="12" t="s">
        <v>304</v>
      </c>
      <c r="C119" s="13" t="s">
        <v>305</v>
      </c>
      <c r="D119" s="13" t="s">
        <v>306</v>
      </c>
      <c r="E119" s="14">
        <v>1</v>
      </c>
      <c r="F119" s="15">
        <v>1</v>
      </c>
      <c r="G119" s="16">
        <f>E119 * F119 * 4611.23916</f>
        <v>4611.2391600000001</v>
      </c>
      <c r="H119" s="16">
        <f>E119 * F119 * 4186.197085</f>
        <v>4186.1970849999998</v>
      </c>
      <c r="I119" s="16">
        <f t="shared" si="10"/>
        <v>0</v>
      </c>
      <c r="J119" s="16">
        <f>E119 * F119 * 4620.461638</f>
        <v>4620.4616379999998</v>
      </c>
      <c r="K119" s="16">
        <f>E119 * F119 * 2348.132129</f>
        <v>2348.1321290000001</v>
      </c>
      <c r="L119" s="23">
        <f t="shared" si="5"/>
        <v>157.66030012000002</v>
      </c>
      <c r="M119" s="17">
        <f>SUM(G119:K119)</f>
        <v>15766.030012000001</v>
      </c>
    </row>
    <row r="120" spans="1:13">
      <c r="A120" s="11">
        <v>117</v>
      </c>
      <c r="B120" s="12" t="s">
        <v>307</v>
      </c>
      <c r="C120" s="13" t="s">
        <v>308</v>
      </c>
      <c r="D120" s="13" t="s">
        <v>144</v>
      </c>
      <c r="E120" s="14">
        <v>1</v>
      </c>
      <c r="F120" s="15">
        <v>1</v>
      </c>
      <c r="G120" s="16">
        <f>E120 * F120 * 10899.29256</f>
        <v>10899.29256</v>
      </c>
      <c r="H120" s="16">
        <f>E120 * F120 * 15017.665499</f>
        <v>15017.665499000001</v>
      </c>
      <c r="I120" s="16">
        <f t="shared" si="10"/>
        <v>0</v>
      </c>
      <c r="J120" s="16">
        <f>E120 * F120 * 10921.091145</f>
        <v>10921.091145</v>
      </c>
      <c r="K120" s="16">
        <f>E120 * F120 * 6446.65861</f>
        <v>6446.6586100000004</v>
      </c>
      <c r="L120" s="23">
        <f t="shared" si="5"/>
        <v>432.84707814000001</v>
      </c>
      <c r="M120" s="17">
        <f>SUM(G120:K120)</f>
        <v>43284.707814000001</v>
      </c>
    </row>
    <row r="121" spans="1:13">
      <c r="A121" s="11">
        <v>118</v>
      </c>
      <c r="B121" s="12" t="s">
        <v>309</v>
      </c>
      <c r="C121" s="13" t="s">
        <v>310</v>
      </c>
      <c r="D121" s="13" t="s">
        <v>144</v>
      </c>
      <c r="E121" s="14">
        <v>1</v>
      </c>
      <c r="F121" s="15">
        <v>1</v>
      </c>
      <c r="G121" s="16">
        <f>E121 * F121 * 14443.43598</f>
        <v>14443.43598</v>
      </c>
      <c r="H121" s="16">
        <f>E121 * F121 * 14363.095114</f>
        <v>14363.095114</v>
      </c>
      <c r="I121" s="16">
        <f t="shared" si="10"/>
        <v>0</v>
      </c>
      <c r="J121" s="16">
        <f>E121 * F121 * 14472.322852</f>
        <v>14472.322851999999</v>
      </c>
      <c r="K121" s="16">
        <f>E121 * F121 * 7573.799441</f>
        <v>7573.7994410000001</v>
      </c>
      <c r="L121" s="23">
        <f t="shared" si="5"/>
        <v>508.52653386999998</v>
      </c>
      <c r="M121" s="17">
        <f>SUM(G121:K121)</f>
        <v>50852.653386999998</v>
      </c>
    </row>
    <row r="122" spans="1:13">
      <c r="A122" s="11">
        <v>119</v>
      </c>
      <c r="B122" s="12" t="s">
        <v>311</v>
      </c>
      <c r="C122" s="13" t="s">
        <v>312</v>
      </c>
      <c r="D122" s="13" t="s">
        <v>144</v>
      </c>
      <c r="E122" s="14">
        <v>1</v>
      </c>
      <c r="F122" s="15">
        <v>1</v>
      </c>
      <c r="G122" s="16">
        <f>E122 * F122 * 6078.45162</f>
        <v>6078.4516199999998</v>
      </c>
      <c r="H122" s="16">
        <f>E122 * F122 * 8459.293471</f>
        <v>8459.2934710000009</v>
      </c>
      <c r="I122" s="16">
        <f t="shared" si="10"/>
        <v>0</v>
      </c>
      <c r="J122" s="16">
        <f>E122 * F122 * 6090.608523</f>
        <v>6090.6085229999999</v>
      </c>
      <c r="K122" s="16">
        <f>E122 * F122 * 3609.96188199999</f>
        <v>3609.9618819999901</v>
      </c>
      <c r="L122" s="23">
        <f t="shared" si="5"/>
        <v>242.38315495999987</v>
      </c>
      <c r="M122" s="17">
        <f>SUM(G122:K122)</f>
        <v>24238.315495999988</v>
      </c>
    </row>
    <row r="123" spans="1:13">
      <c r="A123" s="11">
        <v>120</v>
      </c>
      <c r="B123" s="12" t="s">
        <v>313</v>
      </c>
      <c r="C123" s="13" t="s">
        <v>314</v>
      </c>
      <c r="D123" s="13" t="s">
        <v>144</v>
      </c>
      <c r="E123" s="14">
        <v>1</v>
      </c>
      <c r="F123" s="15">
        <v>1</v>
      </c>
      <c r="G123" s="16">
        <f>E123 * F123 * 89930.8278</f>
        <v>89930.827799999999</v>
      </c>
      <c r="H123" s="16">
        <f>E123 * F123 * 5235.565848</f>
        <v>5235.5658480000002</v>
      </c>
      <c r="I123" s="16">
        <f t="shared" si="10"/>
        <v>0</v>
      </c>
      <c r="J123" s="16">
        <f>E123 * F123 * 90110.689456</f>
        <v>90110.689455999993</v>
      </c>
      <c r="K123" s="16">
        <f>E123 * F123 * 32423.489543</f>
        <v>32423.489543</v>
      </c>
      <c r="L123" s="23">
        <f t="shared" si="5"/>
        <v>2177.0057264699999</v>
      </c>
      <c r="M123" s="17">
        <f>SUM(G123:K123)</f>
        <v>217700.57264699999</v>
      </c>
    </row>
    <row r="124" spans="1:13">
      <c r="A124" s="11">
        <v>121</v>
      </c>
      <c r="B124" s="12" t="s">
        <v>315</v>
      </c>
      <c r="C124" s="13" t="s">
        <v>316</v>
      </c>
      <c r="D124" s="13" t="s">
        <v>144</v>
      </c>
      <c r="E124" s="14">
        <v>1</v>
      </c>
      <c r="F124" s="15">
        <v>1</v>
      </c>
      <c r="G124" s="16">
        <f>E124 * F124 * 79030.1214</f>
        <v>79030.121400000004</v>
      </c>
      <c r="H124" s="16">
        <f>E124 * F124 * 5235.565848</f>
        <v>5235.5658480000002</v>
      </c>
      <c r="I124" s="16">
        <f t="shared" si="10"/>
        <v>0</v>
      </c>
      <c r="J124" s="16">
        <f>E124 * F124 * 79188.181643</f>
        <v>79188.181643000004</v>
      </c>
      <c r="K124" s="16">
        <f>E124 * F124 * 28604.427056</f>
        <v>28604.427056</v>
      </c>
      <c r="L124" s="23">
        <f t="shared" si="5"/>
        <v>1920.5829594699999</v>
      </c>
      <c r="M124" s="17">
        <f>SUM(G124:K124)</f>
        <v>192058.29594699998</v>
      </c>
    </row>
    <row r="125" spans="1:13">
      <c r="A125" s="11">
        <v>122</v>
      </c>
      <c r="B125" s="12" t="s">
        <v>317</v>
      </c>
      <c r="C125" s="13" t="s">
        <v>318</v>
      </c>
      <c r="D125" s="13" t="s">
        <v>319</v>
      </c>
      <c r="E125" s="14">
        <v>1</v>
      </c>
      <c r="F125" s="15">
        <v>1</v>
      </c>
      <c r="G125" s="16">
        <f>E125 * F125 * 9465.6588</f>
        <v>9465.6587999999992</v>
      </c>
      <c r="H125" s="16">
        <f>E125 * F125 * 523.556585</f>
        <v>523.55658500000004</v>
      </c>
      <c r="I125" s="16">
        <f t="shared" si="10"/>
        <v>0</v>
      </c>
      <c r="J125" s="16">
        <f>E125 * F125 * 9484.590118</f>
        <v>9484.5901180000001</v>
      </c>
      <c r="K125" s="16">
        <f>E125 * F125 * 3407.915963</f>
        <v>3407.9159629999999</v>
      </c>
      <c r="L125" s="23">
        <f t="shared" si="5"/>
        <v>228.81721465999999</v>
      </c>
      <c r="M125" s="17">
        <f>SUM(G125:K125)</f>
        <v>22881.721465999999</v>
      </c>
    </row>
    <row r="126" spans="1:13" ht="25.5">
      <c r="A126" s="11">
        <v>123</v>
      </c>
      <c r="B126" s="12" t="s">
        <v>320</v>
      </c>
      <c r="C126" s="13" t="s">
        <v>321</v>
      </c>
      <c r="D126" s="13" t="s">
        <v>322</v>
      </c>
      <c r="E126" s="14">
        <v>1</v>
      </c>
      <c r="F126" s="15">
        <v>1</v>
      </c>
      <c r="G126" s="16">
        <f>E126 * F126 * 13581.126128</f>
        <v>13581.126128</v>
      </c>
      <c r="H126" s="16">
        <f>E126 * F126 * 1706.714126</f>
        <v>1706.7141260000001</v>
      </c>
      <c r="I126" s="16">
        <f t="shared" si="10"/>
        <v>0</v>
      </c>
      <c r="J126" s="16">
        <f>E126 * F126 * 13608.288381</f>
        <v>13608.288381</v>
      </c>
      <c r="K126" s="16">
        <f>E126 * F126 * 5056.822511</f>
        <v>5056.8225110000003</v>
      </c>
      <c r="L126" s="23">
        <f t="shared" si="5"/>
        <v>339.52951145999998</v>
      </c>
      <c r="M126" s="17">
        <f>SUM(G126:K126)</f>
        <v>33952.951145999999</v>
      </c>
    </row>
    <row r="127" spans="1:13" ht="25.5">
      <c r="A127" s="11">
        <v>124</v>
      </c>
      <c r="B127" s="12" t="s">
        <v>323</v>
      </c>
      <c r="C127" s="13" t="s">
        <v>324</v>
      </c>
      <c r="D127" s="13" t="s">
        <v>322</v>
      </c>
      <c r="E127" s="14">
        <v>1</v>
      </c>
      <c r="F127" s="15">
        <v>1</v>
      </c>
      <c r="G127" s="16">
        <f>E127 * F127 * 17473.233245</f>
        <v>17473.233244999999</v>
      </c>
      <c r="H127" s="16">
        <f>E127 * F127 * 2436.546109</f>
        <v>2436.5461089999999</v>
      </c>
      <c r="I127" s="16">
        <f t="shared" si="10"/>
        <v>0</v>
      </c>
      <c r="J127" s="16">
        <f>E127 * F127 * 17508.179712</f>
        <v>17508.179712000001</v>
      </c>
      <c r="K127" s="16">
        <f>E127 * F127 * 6548.142837</f>
        <v>6548.1428370000003</v>
      </c>
      <c r="L127" s="23">
        <f t="shared" si="5"/>
        <v>439.66101902999998</v>
      </c>
      <c r="M127" s="17">
        <f>SUM(G127:K127)</f>
        <v>43966.101902999995</v>
      </c>
    </row>
    <row r="128" spans="1:13">
      <c r="A128" s="11">
        <v>125</v>
      </c>
      <c r="B128" s="12" t="s">
        <v>325</v>
      </c>
      <c r="C128" s="13" t="s">
        <v>326</v>
      </c>
      <c r="D128" s="13" t="s">
        <v>327</v>
      </c>
      <c r="E128" s="14">
        <v>1</v>
      </c>
      <c r="F128" s="15">
        <v>1</v>
      </c>
      <c r="G128" s="16">
        <f>E128 * F128 * 9638.8542</f>
        <v>9638.8541999999998</v>
      </c>
      <c r="H128" s="16">
        <f>E128 * F128 * 1821.115185</f>
        <v>1821.1151850000001</v>
      </c>
      <c r="I128" s="16">
        <f t="shared" si="10"/>
        <v>0</v>
      </c>
      <c r="J128" s="16">
        <f>E128 * F128 * 9658.131908</f>
        <v>9658.1319079999994</v>
      </c>
      <c r="K128" s="16">
        <f>E128 * F128 * 3695.66772599999</f>
        <v>3695.6677259999901</v>
      </c>
      <c r="L128" s="23">
        <f t="shared" si="5"/>
        <v>248.13769018999989</v>
      </c>
      <c r="M128" s="17">
        <f>SUM(G128:K128)</f>
        <v>24813.769018999988</v>
      </c>
    </row>
    <row r="129" spans="1:13">
      <c r="A129" s="11">
        <v>126</v>
      </c>
      <c r="B129" s="12" t="s">
        <v>328</v>
      </c>
      <c r="C129" s="13" t="s">
        <v>329</v>
      </c>
      <c r="D129" s="13" t="s">
        <v>327</v>
      </c>
      <c r="E129" s="14">
        <v>1</v>
      </c>
      <c r="F129" s="15">
        <v>1</v>
      </c>
      <c r="G129" s="16">
        <f>E129 * F129 * 18420.92136</f>
        <v>18420.92136</v>
      </c>
      <c r="H129" s="16">
        <f>E129 * F129 * 7303.392802</f>
        <v>7303.3928020000003</v>
      </c>
      <c r="I129" s="16">
        <f t="shared" si="10"/>
        <v>0</v>
      </c>
      <c r="J129" s="16">
        <f>E129 * F129 * 18457.763203</f>
        <v>18457.763202999999</v>
      </c>
      <c r="K129" s="16">
        <f>E129 * F129 * 7731.863538</f>
        <v>7731.8635379999996</v>
      </c>
      <c r="L129" s="23">
        <f t="shared" si="5"/>
        <v>519.13940903000002</v>
      </c>
      <c r="M129" s="17">
        <f>SUM(G129:K129)</f>
        <v>51913.940903000002</v>
      </c>
    </row>
    <row r="130" spans="1:13" ht="25.5">
      <c r="A130" s="11">
        <v>127</v>
      </c>
      <c r="B130" s="12" t="s">
        <v>330</v>
      </c>
      <c r="C130" s="13" t="s">
        <v>331</v>
      </c>
      <c r="D130" s="13" t="s">
        <v>332</v>
      </c>
      <c r="E130" s="14">
        <v>1</v>
      </c>
      <c r="F130" s="15">
        <v>1</v>
      </c>
      <c r="G130" s="16">
        <f>E130 * F130 * 30763.3911</f>
        <v>30763.391100000001</v>
      </c>
      <c r="H130" s="16">
        <f>E130 * F130 * 438764.88386</f>
        <v>438764.88386</v>
      </c>
      <c r="I130" s="16">
        <f t="shared" si="10"/>
        <v>0</v>
      </c>
      <c r="J130" s="16">
        <f>E130 * F130 * 30824.9178819999</f>
        <v>30824.9178819999</v>
      </c>
      <c r="K130" s="16">
        <f>E130 * F130 * 87561.808747</f>
        <v>87561.808747000003</v>
      </c>
      <c r="L130" s="23">
        <f t="shared" si="5"/>
        <v>5879.1500158899998</v>
      </c>
      <c r="M130" s="17">
        <f>SUM(G130:K130)</f>
        <v>587915.00158899999</v>
      </c>
    </row>
    <row r="131" spans="1:13" ht="25.5">
      <c r="A131" s="11">
        <v>128</v>
      </c>
      <c r="B131" s="12" t="s">
        <v>333</v>
      </c>
      <c r="C131" s="13" t="s">
        <v>334</v>
      </c>
      <c r="D131" s="13" t="s">
        <v>335</v>
      </c>
      <c r="E131" s="14">
        <v>1</v>
      </c>
      <c r="F131" s="15">
        <v>1</v>
      </c>
      <c r="G131" s="16">
        <f>E131 * F131 * 19264.870733</f>
        <v>19264.870733</v>
      </c>
      <c r="H131" s="16">
        <f>E131 * F131 * 49067.47433</f>
        <v>49067.474329999997</v>
      </c>
      <c r="I131" s="16">
        <f t="shared" si="10"/>
        <v>0</v>
      </c>
      <c r="J131" s="16">
        <f>E131 * F131 * 19303.400474</f>
        <v>19303.400473999998</v>
      </c>
      <c r="K131" s="16">
        <f>E131 * F131 * 15336.255469</f>
        <v>15336.255469</v>
      </c>
      <c r="L131" s="23">
        <f>M131/E131/F131</f>
        <v>102972.00100599999</v>
      </c>
      <c r="M131" s="17">
        <f>SUM(G131:K131)</f>
        <v>102972.00100599999</v>
      </c>
    </row>
    <row r="132" spans="1:13">
      <c r="A132" s="11">
        <v>129</v>
      </c>
      <c r="B132" s="12" t="s">
        <v>336</v>
      </c>
      <c r="C132" s="13" t="s">
        <v>337</v>
      </c>
      <c r="D132" s="13" t="s">
        <v>335</v>
      </c>
      <c r="E132" s="14">
        <v>1</v>
      </c>
      <c r="F132" s="15">
        <v>1</v>
      </c>
      <c r="G132" s="16">
        <f>E132 * F132 * 1413.274464</f>
        <v>1413.2744640000001</v>
      </c>
      <c r="H132" s="16">
        <f>E132 * F132 * 93549.5946</f>
        <v>93549.594599999997</v>
      </c>
      <c r="I132" s="16">
        <f t="shared" si="10"/>
        <v>0</v>
      </c>
      <c r="J132" s="16">
        <f>E132 * F132 * 1416.101013</f>
        <v>1416.101013</v>
      </c>
      <c r="K132" s="16">
        <f>E132 * F132 * 16866.319764</f>
        <v>16866.319764</v>
      </c>
      <c r="L132" s="23">
        <f t="shared" ref="L132:L133" si="11">M132/E132/F132</f>
        <v>113245.28984100001</v>
      </c>
      <c r="M132" s="17">
        <f>SUM(G132:K132)</f>
        <v>113245.28984100001</v>
      </c>
    </row>
    <row r="133" spans="1:13">
      <c r="A133" s="11">
        <v>130</v>
      </c>
      <c r="B133" s="12" t="s">
        <v>338</v>
      </c>
      <c r="C133" s="13" t="s">
        <v>339</v>
      </c>
      <c r="D133" s="13" t="s">
        <v>335</v>
      </c>
      <c r="E133" s="14">
        <v>1</v>
      </c>
      <c r="F133" s="15">
        <v>1</v>
      </c>
      <c r="G133" s="16">
        <f>E133 * F133 * 648.397628</f>
        <v>648.39762800000005</v>
      </c>
      <c r="H133" s="16">
        <f>E133 * F133 * 0</f>
        <v>0</v>
      </c>
      <c r="I133" s="16">
        <f t="shared" si="10"/>
        <v>0</v>
      </c>
      <c r="J133" s="16">
        <f>E133 * F133 * 649.694424</f>
        <v>649.69442400000003</v>
      </c>
      <c r="K133" s="16">
        <f>E133 * F133 * 227.166109</f>
        <v>227.16610900000001</v>
      </c>
      <c r="L133" s="23">
        <f t="shared" si="11"/>
        <v>1525.258161</v>
      </c>
      <c r="M133" s="17">
        <f>SUM(G133:K133)</f>
        <v>1525.258161</v>
      </c>
    </row>
    <row r="134" spans="1:13" ht="25.5">
      <c r="A134" s="11">
        <v>131</v>
      </c>
      <c r="B134" s="12" t="s">
        <v>340</v>
      </c>
      <c r="C134" s="13" t="s">
        <v>341</v>
      </c>
      <c r="D134" s="13" t="s">
        <v>342</v>
      </c>
      <c r="E134" s="14">
        <v>1</v>
      </c>
      <c r="F134" s="15">
        <v>1</v>
      </c>
      <c r="G134" s="16">
        <f>E134 * F134 * 13922.7894</f>
        <v>13922.7894</v>
      </c>
      <c r="H134" s="16">
        <f>E134 * F134 * 57087.139841</f>
        <v>57087.139840999997</v>
      </c>
      <c r="I134" s="16">
        <f t="shared" si="10"/>
        <v>0</v>
      </c>
      <c r="J134" s="16">
        <f>E134 * F134 * 13950.6349789999</f>
        <v>13950.6349789999</v>
      </c>
      <c r="K134" s="16">
        <f>E134 * F134 * 14868.098738</f>
        <v>14868.098738000001</v>
      </c>
      <c r="L134" s="23">
        <f t="shared" ref="L134:L196" si="12">M134/E134/F134/100</f>
        <v>998.28662957999882</v>
      </c>
      <c r="M134" s="17">
        <f>SUM(G134:K134)</f>
        <v>99828.662957999884</v>
      </c>
    </row>
    <row r="135" spans="1:13" ht="25.5">
      <c r="A135" s="11">
        <v>132</v>
      </c>
      <c r="B135" s="12" t="s">
        <v>343</v>
      </c>
      <c r="C135" s="13" t="s">
        <v>344</v>
      </c>
      <c r="D135" s="13" t="s">
        <v>342</v>
      </c>
      <c r="E135" s="14">
        <v>1</v>
      </c>
      <c r="F135" s="15">
        <v>1</v>
      </c>
      <c r="G135" s="16">
        <f>E135 * F135 * 14993.7732</f>
        <v>14993.7732</v>
      </c>
      <c r="H135" s="16">
        <f>E135 * F135 * 76161.667841</f>
        <v>76161.667841000002</v>
      </c>
      <c r="I135" s="16">
        <f t="shared" si="10"/>
        <v>0</v>
      </c>
      <c r="J135" s="16">
        <f>E135 * F135 * 15023.760746</f>
        <v>15023.760746</v>
      </c>
      <c r="K135" s="16">
        <f>E135 * F135 * 18581.360313</f>
        <v>18581.360313000001</v>
      </c>
      <c r="L135" s="23">
        <f t="shared" si="12"/>
        <v>1247.6056209999999</v>
      </c>
      <c r="M135" s="17">
        <f>SUM(G135:K135)</f>
        <v>124760.5621</v>
      </c>
    </row>
    <row r="136" spans="1:13" ht="25.5">
      <c r="A136" s="11">
        <v>133</v>
      </c>
      <c r="B136" s="12" t="s">
        <v>345</v>
      </c>
      <c r="C136" s="13" t="s">
        <v>346</v>
      </c>
      <c r="D136" s="13" t="s">
        <v>342</v>
      </c>
      <c r="E136" s="14">
        <v>1</v>
      </c>
      <c r="F136" s="15">
        <v>1</v>
      </c>
      <c r="G136" s="16">
        <f>E136 * F136 * 22198.198838</f>
        <v>22198.198838</v>
      </c>
      <c r="H136" s="16">
        <f>E136 * F136 * 96016.029396</f>
        <v>96016.029395999998</v>
      </c>
      <c r="I136" s="16">
        <f t="shared" si="10"/>
        <v>0</v>
      </c>
      <c r="J136" s="16">
        <f>E136 * F136 * 22242.595236</f>
        <v>22242.595236000001</v>
      </c>
      <c r="K136" s="16">
        <f>E136 * F136 * 24579.944107</f>
        <v>24579.944106999999</v>
      </c>
      <c r="L136" s="23">
        <f t="shared" si="12"/>
        <v>1650.36767577</v>
      </c>
      <c r="M136" s="17">
        <f>SUM(G136:K136)</f>
        <v>165036.76757699999</v>
      </c>
    </row>
    <row r="137" spans="1:13" ht="25.5">
      <c r="A137" s="11">
        <v>134</v>
      </c>
      <c r="B137" s="12" t="s">
        <v>347</v>
      </c>
      <c r="C137" s="13" t="s">
        <v>348</v>
      </c>
      <c r="D137" s="13" t="s">
        <v>342</v>
      </c>
      <c r="E137" s="14">
        <v>1</v>
      </c>
      <c r="F137" s="15">
        <v>1</v>
      </c>
      <c r="G137" s="16">
        <f>E137 * F137 * 25406.795691</f>
        <v>25406.795690999999</v>
      </c>
      <c r="H137" s="16">
        <f>E137 * F137 * 108732.890161</f>
        <v>108732.890161</v>
      </c>
      <c r="I137" s="16">
        <f t="shared" si="10"/>
        <v>0</v>
      </c>
      <c r="J137" s="16">
        <f>E137 * F137 * 25457.6092829999</f>
        <v>25457.6092829999</v>
      </c>
      <c r="K137" s="16">
        <f>E137 * F137 * 27929.526648</f>
        <v>27929.526647999999</v>
      </c>
      <c r="L137" s="23">
        <f t="shared" si="12"/>
        <v>1875.268217829999</v>
      </c>
      <c r="M137" s="17">
        <f>SUM(G137:K137)</f>
        <v>187526.8217829999</v>
      </c>
    </row>
    <row r="138" spans="1:13" ht="25.5">
      <c r="A138" s="11">
        <v>135</v>
      </c>
      <c r="B138" s="12" t="s">
        <v>349</v>
      </c>
      <c r="C138" s="13" t="s">
        <v>350</v>
      </c>
      <c r="D138" s="13" t="s">
        <v>342</v>
      </c>
      <c r="E138" s="14">
        <v>1</v>
      </c>
      <c r="F138" s="15">
        <v>1</v>
      </c>
      <c r="G138" s="16">
        <f>E138 * F138 * 33046.276133</f>
        <v>33046.276132999999</v>
      </c>
      <c r="H138" s="16">
        <f>E138 * F138 * 138951.624885</f>
        <v>138951.624885</v>
      </c>
      <c r="I138" s="16">
        <f t="shared" si="10"/>
        <v>0</v>
      </c>
      <c r="J138" s="16">
        <f>E138 * F138 * 33112.368685</f>
        <v>33112.368685000001</v>
      </c>
      <c r="K138" s="16">
        <f>E138 * F138 * 35894.297198</f>
        <v>35894.297198</v>
      </c>
      <c r="L138" s="23">
        <f t="shared" si="12"/>
        <v>2410.04566901</v>
      </c>
      <c r="M138" s="17">
        <f>SUM(G138:K138)</f>
        <v>241004.56690099998</v>
      </c>
    </row>
    <row r="139" spans="1:13" ht="25.5">
      <c r="A139" s="11">
        <v>136</v>
      </c>
      <c r="B139" s="12" t="s">
        <v>351</v>
      </c>
      <c r="C139" s="13" t="s">
        <v>352</v>
      </c>
      <c r="D139" s="13" t="s">
        <v>342</v>
      </c>
      <c r="E139" s="14">
        <v>1</v>
      </c>
      <c r="F139" s="15">
        <v>1</v>
      </c>
      <c r="G139" s="16">
        <f>E139 * F139 * 36193.540528</f>
        <v>36193.540527999998</v>
      </c>
      <c r="H139" s="16">
        <f>E139 * F139 * 172729.206117</f>
        <v>172729.20611699999</v>
      </c>
      <c r="I139" s="16">
        <f t="shared" si="10"/>
        <v>0</v>
      </c>
      <c r="J139" s="16">
        <f>E139 * F139 * 36265.927609</f>
        <v>36265.927608999998</v>
      </c>
      <c r="K139" s="16">
        <f>E139 * F139 * 42908.017994</f>
        <v>42908.017994000002</v>
      </c>
      <c r="L139" s="23">
        <f t="shared" si="12"/>
        <v>2880.96692248</v>
      </c>
      <c r="M139" s="17">
        <f>SUM(G139:K139)</f>
        <v>288096.69224800001</v>
      </c>
    </row>
    <row r="140" spans="1:13" ht="25.5">
      <c r="A140" s="11">
        <v>137</v>
      </c>
      <c r="B140" s="12" t="s">
        <v>353</v>
      </c>
      <c r="C140" s="13" t="s">
        <v>354</v>
      </c>
      <c r="D140" s="13" t="s">
        <v>342</v>
      </c>
      <c r="E140" s="14">
        <v>1</v>
      </c>
      <c r="F140" s="15">
        <v>1</v>
      </c>
      <c r="G140" s="16">
        <f>E140 * F140 * 26774.595</f>
        <v>26774.595000000001</v>
      </c>
      <c r="H140" s="16">
        <f>E140 * F140 * 159939.242793</f>
        <v>159939.24279300001</v>
      </c>
      <c r="I140" s="16">
        <f t="shared" si="10"/>
        <v>0</v>
      </c>
      <c r="J140" s="16">
        <f>E140 * F140 * 26828.14419</f>
        <v>26828.144189999999</v>
      </c>
      <c r="K140" s="16">
        <f>E140 * F140 * 37369.846847</f>
        <v>37369.846847000001</v>
      </c>
      <c r="L140" s="23">
        <f t="shared" si="12"/>
        <v>2509.1182883000001</v>
      </c>
      <c r="M140" s="17">
        <f>SUM(G140:K140)</f>
        <v>250911.82883000001</v>
      </c>
    </row>
    <row r="141" spans="1:13" ht="51">
      <c r="A141" s="11">
        <v>138</v>
      </c>
      <c r="B141" s="12" t="s">
        <v>355</v>
      </c>
      <c r="C141" s="13" t="s">
        <v>356</v>
      </c>
      <c r="D141" s="13" t="s">
        <v>357</v>
      </c>
      <c r="E141" s="14">
        <v>1</v>
      </c>
      <c r="F141" s="15">
        <v>1</v>
      </c>
      <c r="G141" s="16">
        <f>E141 * F141 * 380.992767</f>
        <v>380.99276700000001</v>
      </c>
      <c r="H141" s="16">
        <f>E141 * F141 * 380.337606</f>
        <v>380.33760599999999</v>
      </c>
      <c r="I141" s="16">
        <f t="shared" si="10"/>
        <v>0</v>
      </c>
      <c r="J141" s="16">
        <f>E141 * F141 * 381.754753</f>
        <v>381.75475299999999</v>
      </c>
      <c r="K141" s="16">
        <f>E141 * F141 * 200.039897</f>
        <v>200.039897</v>
      </c>
      <c r="L141" s="23">
        <f>M141/E141/F141</f>
        <v>1343.1250230000001</v>
      </c>
      <c r="M141" s="17">
        <f>SUM(G141:K141)</f>
        <v>1343.1250230000001</v>
      </c>
    </row>
    <row r="142" spans="1:13" ht="51">
      <c r="A142" s="11">
        <v>139</v>
      </c>
      <c r="B142" s="12" t="s">
        <v>358</v>
      </c>
      <c r="C142" s="13" t="s">
        <v>359</v>
      </c>
      <c r="D142" s="13" t="s">
        <v>357</v>
      </c>
      <c r="E142" s="14">
        <v>1</v>
      </c>
      <c r="F142" s="15">
        <v>1</v>
      </c>
      <c r="G142" s="16">
        <f>E142 * F142 * 411.756158</f>
        <v>411.75615800000003</v>
      </c>
      <c r="H142" s="16">
        <f>E142 * F142 * 511.780777</f>
        <v>511.780777</v>
      </c>
      <c r="I142" s="16">
        <f t="shared" si="10"/>
        <v>0</v>
      </c>
      <c r="J142" s="16">
        <f>E142 * F142 * 412.579670999999</f>
        <v>412.579670999999</v>
      </c>
      <c r="K142" s="16">
        <f>E142 * F142 * 233.820406</f>
        <v>233.82040599999999</v>
      </c>
      <c r="L142" s="23">
        <f t="shared" ref="L142:L143" si="13">M142/E142/F142</f>
        <v>1569.9370119999992</v>
      </c>
      <c r="M142" s="17">
        <f>SUM(G142:K142)</f>
        <v>1569.9370119999992</v>
      </c>
    </row>
    <row r="143" spans="1:13" ht="51">
      <c r="A143" s="11">
        <v>140</v>
      </c>
      <c r="B143" s="12" t="s">
        <v>360</v>
      </c>
      <c r="C143" s="13" t="s">
        <v>361</v>
      </c>
      <c r="D143" s="13" t="s">
        <v>357</v>
      </c>
      <c r="E143" s="14">
        <v>1</v>
      </c>
      <c r="F143" s="15">
        <v>1</v>
      </c>
      <c r="G143" s="16">
        <f>E143 * F143 * 433.05389</f>
        <v>433.05389000000002</v>
      </c>
      <c r="H143" s="16">
        <f>E143 * F143 * 632.94953</f>
        <v>632.94952999999998</v>
      </c>
      <c r="I143" s="16">
        <f t="shared" si="10"/>
        <v>0</v>
      </c>
      <c r="J143" s="16">
        <f>E143 * F143 * 433.919997999999</f>
        <v>433.919997999999</v>
      </c>
      <c r="K143" s="16">
        <f>E143 * F143 * 262.486598</f>
        <v>262.48659800000001</v>
      </c>
      <c r="L143" s="23">
        <f t="shared" si="13"/>
        <v>1762.4100159999989</v>
      </c>
      <c r="M143" s="17">
        <f>SUM(G143:K143)</f>
        <v>1762.4100159999989</v>
      </c>
    </row>
    <row r="144" spans="1:13" ht="25.5">
      <c r="A144" s="11">
        <v>141</v>
      </c>
      <c r="B144" s="12" t="s">
        <v>362</v>
      </c>
      <c r="C144" s="13" t="s">
        <v>363</v>
      </c>
      <c r="D144" s="13" t="s">
        <v>364</v>
      </c>
      <c r="E144" s="14">
        <v>1</v>
      </c>
      <c r="F144" s="15">
        <v>1</v>
      </c>
      <c r="G144" s="16">
        <f>E144 * F144 * 12069.86275</f>
        <v>12069.86275</v>
      </c>
      <c r="H144" s="16">
        <f>E144 * F144 * 1252394.607848</f>
        <v>1252394.607848</v>
      </c>
      <c r="I144" s="16">
        <f t="shared" si="10"/>
        <v>0</v>
      </c>
      <c r="J144" s="16">
        <f>E144 * F144 * 12094.002476</f>
        <v>12094.002476</v>
      </c>
      <c r="K144" s="16">
        <f>E144 * F144 * 223397.732788</f>
        <v>223397.73278799999</v>
      </c>
      <c r="L144" s="23">
        <f t="shared" si="12"/>
        <v>14999.562058620002</v>
      </c>
      <c r="M144" s="17">
        <f>SUM(G144:K144)</f>
        <v>1499956.2058620001</v>
      </c>
    </row>
    <row r="145" spans="1:13" ht="25.5">
      <c r="A145" s="11">
        <v>142</v>
      </c>
      <c r="B145" s="12" t="s">
        <v>365</v>
      </c>
      <c r="C145" s="13" t="s">
        <v>366</v>
      </c>
      <c r="D145" s="13" t="s">
        <v>364</v>
      </c>
      <c r="E145" s="14">
        <v>1</v>
      </c>
      <c r="F145" s="15">
        <v>1</v>
      </c>
      <c r="G145" s="16">
        <f>E145 * F145 * 15361.6435</f>
        <v>15361.6435</v>
      </c>
      <c r="H145" s="16">
        <f>E145 * F145 * 1995360.303848</f>
        <v>1995360.303848</v>
      </c>
      <c r="I145" s="16">
        <f t="shared" si="10"/>
        <v>0</v>
      </c>
      <c r="J145" s="16">
        <f>E145 * F145 * 15392.3667869999</f>
        <v>15392.366786999901</v>
      </c>
      <c r="K145" s="16">
        <f>E145 * F145 * 354570.004974</f>
        <v>354570.00497399998</v>
      </c>
      <c r="L145" s="23">
        <f t="shared" si="12"/>
        <v>23806.843191089996</v>
      </c>
      <c r="M145" s="17">
        <f>SUM(G145:K145)</f>
        <v>2380684.3191089998</v>
      </c>
    </row>
    <row r="146" spans="1:13">
      <c r="A146" s="11">
        <v>143</v>
      </c>
      <c r="B146" s="12" t="s">
        <v>367</v>
      </c>
      <c r="C146" s="13" t="s">
        <v>368</v>
      </c>
      <c r="D146" s="13" t="s">
        <v>369</v>
      </c>
      <c r="E146" s="14">
        <v>1</v>
      </c>
      <c r="F146" s="15">
        <v>1</v>
      </c>
      <c r="G146" s="16">
        <f>E146 * F146 * 6763.10073</f>
        <v>6763.1007300000001</v>
      </c>
      <c r="H146" s="16">
        <f>E146 * F146 * 122459.529104</f>
        <v>122459.529104</v>
      </c>
      <c r="I146" s="16">
        <f t="shared" si="10"/>
        <v>0</v>
      </c>
      <c r="J146" s="16">
        <f>E146 * F146 * 6776.626931</f>
        <v>6776.6269309999998</v>
      </c>
      <c r="K146" s="16">
        <f>E146 * F146 * 23799.869934</f>
        <v>23799.869933999998</v>
      </c>
      <c r="L146" s="23">
        <f t="shared" si="12"/>
        <v>1597.9912669899998</v>
      </c>
      <c r="M146" s="17">
        <f>SUM(G146:K146)</f>
        <v>159799.12669899999</v>
      </c>
    </row>
    <row r="147" spans="1:13">
      <c r="A147" s="11">
        <v>144</v>
      </c>
      <c r="B147" s="12" t="s">
        <v>370</v>
      </c>
      <c r="C147" s="13" t="s">
        <v>371</v>
      </c>
      <c r="D147" s="13" t="s">
        <v>369</v>
      </c>
      <c r="E147" s="14">
        <v>1</v>
      </c>
      <c r="F147" s="15">
        <v>1</v>
      </c>
      <c r="G147" s="16">
        <f>E147 * F147 * 6763.10073</f>
        <v>6763.1007300000001</v>
      </c>
      <c r="H147" s="16">
        <f>E147 * F147 * 133065.696104</f>
        <v>133065.696104</v>
      </c>
      <c r="I147" s="16">
        <f t="shared" si="10"/>
        <v>0</v>
      </c>
      <c r="J147" s="16">
        <f>E147 * F147 * 6776.626931</f>
        <v>6776.6269309999998</v>
      </c>
      <c r="K147" s="16">
        <f>E147 * F147 * 25655.949159</f>
        <v>25655.949159</v>
      </c>
      <c r="L147" s="23">
        <f t="shared" si="12"/>
        <v>1722.6137292400003</v>
      </c>
      <c r="M147" s="17">
        <f>SUM(G147:K147)</f>
        <v>172261.37292400002</v>
      </c>
    </row>
    <row r="148" spans="1:13" ht="25.5">
      <c r="A148" s="11">
        <v>145</v>
      </c>
      <c r="B148" s="12" t="s">
        <v>372</v>
      </c>
      <c r="C148" s="13" t="s">
        <v>373</v>
      </c>
      <c r="D148" s="13" t="s">
        <v>374</v>
      </c>
      <c r="E148" s="14">
        <v>1</v>
      </c>
      <c r="F148" s="15">
        <v>1</v>
      </c>
      <c r="G148" s="16">
        <f>E148 * F148 * 19867.014585</f>
        <v>19867.014585000001</v>
      </c>
      <c r="H148" s="16">
        <f>E148 * F148 * 430530.576741</f>
        <v>430530.576741</v>
      </c>
      <c r="I148" s="16">
        <f t="shared" si="10"/>
        <v>0</v>
      </c>
      <c r="J148" s="16">
        <f>E148 * F148 * 19906.748615</f>
        <v>19906.748615</v>
      </c>
      <c r="K148" s="16">
        <f>E148 * F148 * 82303.25949</f>
        <v>82303.259489999997</v>
      </c>
      <c r="L148" s="23">
        <f t="shared" si="12"/>
        <v>5526.0759943099993</v>
      </c>
      <c r="M148" s="17">
        <f>SUM(G148:K148)</f>
        <v>552607.59943099995</v>
      </c>
    </row>
    <row r="149" spans="1:13" ht="38.25">
      <c r="A149" s="11">
        <v>146</v>
      </c>
      <c r="B149" s="12" t="s">
        <v>375</v>
      </c>
      <c r="C149" s="13" t="s">
        <v>376</v>
      </c>
      <c r="D149" s="13" t="s">
        <v>377</v>
      </c>
      <c r="E149" s="14">
        <v>1</v>
      </c>
      <c r="F149" s="15">
        <v>1</v>
      </c>
      <c r="G149" s="16">
        <f>E149 * F149 * 25887.322035</f>
        <v>25887.322035000001</v>
      </c>
      <c r="H149" s="16">
        <f>E149 * F149 * 11722.942899</f>
        <v>11722.942899</v>
      </c>
      <c r="I149" s="16">
        <f t="shared" ref="I149:I180" si="14">E149 * F149 * 0</f>
        <v>0</v>
      </c>
      <c r="J149" s="16">
        <f>E149 * F149 * 25939.09668</f>
        <v>25939.096679999999</v>
      </c>
      <c r="K149" s="16">
        <f>E149 * F149 * 11121.138282</f>
        <v>11121.138282</v>
      </c>
      <c r="L149" s="23">
        <f t="shared" si="12"/>
        <v>746.7049989599999</v>
      </c>
      <c r="M149" s="17">
        <f>SUM(G149:K149)</f>
        <v>74670.499895999994</v>
      </c>
    </row>
    <row r="150" spans="1:13" ht="38.25">
      <c r="A150" s="11">
        <v>147</v>
      </c>
      <c r="B150" s="12" t="s">
        <v>378</v>
      </c>
      <c r="C150" s="13" t="s">
        <v>379</v>
      </c>
      <c r="D150" s="13" t="s">
        <v>377</v>
      </c>
      <c r="E150" s="14">
        <v>1</v>
      </c>
      <c r="F150" s="15">
        <v>1</v>
      </c>
      <c r="G150" s="16">
        <f>E150 * F150 * 25887.322035</f>
        <v>25887.322035000001</v>
      </c>
      <c r="H150" s="16">
        <f>E150 * F150 * 1281.363926</f>
        <v>1281.363926</v>
      </c>
      <c r="I150" s="16">
        <f t="shared" si="14"/>
        <v>0</v>
      </c>
      <c r="J150" s="16">
        <f>E150 * F150 * 25939.09668</f>
        <v>25939.096679999999</v>
      </c>
      <c r="K150" s="16">
        <f>E150 * F150 * 9293.86196199999</f>
        <v>9293.8619619999899</v>
      </c>
      <c r="L150" s="23">
        <f t="shared" si="12"/>
        <v>624.01644602999988</v>
      </c>
      <c r="M150" s="17">
        <f>SUM(G150:K150)</f>
        <v>62401.644602999986</v>
      </c>
    </row>
    <row r="151" spans="1:13" ht="38.25">
      <c r="A151" s="11">
        <v>148</v>
      </c>
      <c r="B151" s="12" t="s">
        <v>380</v>
      </c>
      <c r="C151" s="13" t="s">
        <v>381</v>
      </c>
      <c r="D151" s="13" t="s">
        <v>377</v>
      </c>
      <c r="E151" s="14">
        <v>1</v>
      </c>
      <c r="F151" s="15">
        <v>1</v>
      </c>
      <c r="G151" s="16">
        <f>E151 * F151 * 25887.322035</f>
        <v>25887.322035000001</v>
      </c>
      <c r="H151" s="16">
        <f>E151 * F151 * 2378.087643</f>
        <v>2378.0876429999998</v>
      </c>
      <c r="I151" s="16">
        <f t="shared" si="14"/>
        <v>0</v>
      </c>
      <c r="J151" s="16">
        <f>E151 * F151 * 25939.09668</f>
        <v>25939.096679999999</v>
      </c>
      <c r="K151" s="16">
        <f>E151 * F151 * 9485.788613</f>
        <v>9485.7886130000006</v>
      </c>
      <c r="L151" s="23">
        <f t="shared" si="12"/>
        <v>636.90294970999992</v>
      </c>
      <c r="M151" s="17">
        <f>SUM(G151:K151)</f>
        <v>63690.294970999996</v>
      </c>
    </row>
    <row r="152" spans="1:13">
      <c r="A152" s="11">
        <v>149</v>
      </c>
      <c r="B152" s="12" t="s">
        <v>382</v>
      </c>
      <c r="C152" s="13" t="s">
        <v>383</v>
      </c>
      <c r="D152" s="13" t="s">
        <v>384</v>
      </c>
      <c r="E152" s="14">
        <v>1</v>
      </c>
      <c r="F152" s="15">
        <v>1</v>
      </c>
      <c r="G152" s="16">
        <f>E152 * F152 * 492.214258</f>
        <v>492.21425799999997</v>
      </c>
      <c r="H152" s="16">
        <f>E152 * F152 * 44897.869649</f>
        <v>44897.869649</v>
      </c>
      <c r="I152" s="16">
        <f t="shared" si="14"/>
        <v>0</v>
      </c>
      <c r="J152" s="16">
        <f>E152 * F152 * 493.198687</f>
        <v>493.19868700000001</v>
      </c>
      <c r="K152" s="16">
        <f>E152 * F152 * 8029.574454</f>
        <v>8029.5744539999996</v>
      </c>
      <c r="L152" s="23">
        <f>M152/E152/F152</f>
        <v>53912.857047999998</v>
      </c>
      <c r="M152" s="17">
        <f>SUM(G152:K152)</f>
        <v>53912.857047999998</v>
      </c>
    </row>
    <row r="153" spans="1:13">
      <c r="A153" s="11">
        <v>150</v>
      </c>
      <c r="B153" s="12" t="s">
        <v>385</v>
      </c>
      <c r="C153" s="13" t="s">
        <v>386</v>
      </c>
      <c r="D153" s="13" t="s">
        <v>384</v>
      </c>
      <c r="E153" s="14">
        <v>1</v>
      </c>
      <c r="F153" s="15">
        <v>1</v>
      </c>
      <c r="G153" s="16">
        <f>E153 * F153 * 598.702919</f>
        <v>598.70291899999995</v>
      </c>
      <c r="H153" s="16">
        <f>E153 * F153 * 123909.02964</f>
        <v>123909.02963999999</v>
      </c>
      <c r="I153" s="16">
        <f t="shared" si="14"/>
        <v>0</v>
      </c>
      <c r="J153" s="16">
        <f>E153 * F153 * 599.900325</f>
        <v>599.90032499999995</v>
      </c>
      <c r="K153" s="16">
        <f>E153 * F153 * 21893.835754</f>
        <v>21893.835754</v>
      </c>
      <c r="L153" s="23">
        <f t="shared" ref="L153:L159" si="15">M153/E153/F153</f>
        <v>147001.46863799999</v>
      </c>
      <c r="M153" s="17">
        <f>SUM(G153:K153)</f>
        <v>147001.46863799999</v>
      </c>
    </row>
    <row r="154" spans="1:13">
      <c r="A154" s="11">
        <v>151</v>
      </c>
      <c r="B154" s="12" t="s">
        <v>387</v>
      </c>
      <c r="C154" s="13" t="s">
        <v>388</v>
      </c>
      <c r="D154" s="13" t="s">
        <v>389</v>
      </c>
      <c r="E154" s="14">
        <v>1</v>
      </c>
      <c r="F154" s="15">
        <v>1</v>
      </c>
      <c r="G154" s="16">
        <f>E154 * F154 * 3270.21192</f>
        <v>3270.2119200000002</v>
      </c>
      <c r="H154" s="16">
        <f>E154 * F154 * 29483.59295</f>
        <v>29483.592949999998</v>
      </c>
      <c r="I154" s="16">
        <f t="shared" si="14"/>
        <v>0</v>
      </c>
      <c r="J154" s="16">
        <f>E154 * F154 * 3276.752344</f>
        <v>3276.752344</v>
      </c>
      <c r="K154" s="16">
        <f>E154 * F154 * 6305.347512</f>
        <v>6305.3475120000003</v>
      </c>
      <c r="L154" s="23">
        <f t="shared" si="15"/>
        <v>42335.904726000001</v>
      </c>
      <c r="M154" s="17">
        <f>SUM(G154:K154)</f>
        <v>42335.904726000001</v>
      </c>
    </row>
    <row r="155" spans="1:13">
      <c r="A155" s="11">
        <v>152</v>
      </c>
      <c r="B155" s="12" t="s">
        <v>390</v>
      </c>
      <c r="C155" s="13" t="s">
        <v>391</v>
      </c>
      <c r="D155" s="13" t="s">
        <v>392</v>
      </c>
      <c r="E155" s="14">
        <v>1</v>
      </c>
      <c r="F155" s="15">
        <v>1</v>
      </c>
      <c r="G155" s="16">
        <f>E155 * F155 * 4905.31788</f>
        <v>4905.3178799999996</v>
      </c>
      <c r="H155" s="16">
        <f>E155 * F155 * 32112.640655</f>
        <v>32112.640654999999</v>
      </c>
      <c r="I155" s="16">
        <f t="shared" si="14"/>
        <v>0</v>
      </c>
      <c r="J155" s="16">
        <f>E155 * F155 * 4915.128516</f>
        <v>4915.1285159999998</v>
      </c>
      <c r="K155" s="16">
        <f>E155 * F155 * 7338.290234</f>
        <v>7338.2902340000001</v>
      </c>
      <c r="L155" s="23">
        <f t="shared" si="15"/>
        <v>49271.377284999995</v>
      </c>
      <c r="M155" s="17">
        <f>SUM(G155:K155)</f>
        <v>49271.377284999995</v>
      </c>
    </row>
    <row r="156" spans="1:13">
      <c r="A156" s="11">
        <v>153</v>
      </c>
      <c r="B156" s="12" t="s">
        <v>393</v>
      </c>
      <c r="C156" s="13" t="s">
        <v>394</v>
      </c>
      <c r="D156" s="13" t="s">
        <v>392</v>
      </c>
      <c r="E156" s="14">
        <v>1</v>
      </c>
      <c r="F156" s="15">
        <v>1</v>
      </c>
      <c r="G156" s="16">
        <f>E156 * F156 * 5995.38852</f>
        <v>5995.3885200000004</v>
      </c>
      <c r="H156" s="16">
        <f>E156 * F156 * 41881.347486</f>
        <v>41881.347485999999</v>
      </c>
      <c r="I156" s="16">
        <f t="shared" si="14"/>
        <v>0</v>
      </c>
      <c r="J156" s="16">
        <f>E156 * F156 * 6007.37929699999</f>
        <v>6007.3792969999904</v>
      </c>
      <c r="K156" s="16">
        <f>E156 * F156 * 9429.720178</f>
        <v>9429.7201779999996</v>
      </c>
      <c r="L156" s="23">
        <f t="shared" si="15"/>
        <v>63313.835480999987</v>
      </c>
      <c r="M156" s="17">
        <f>SUM(G156:K156)</f>
        <v>63313.835480999987</v>
      </c>
    </row>
    <row r="157" spans="1:13">
      <c r="A157" s="11">
        <v>154</v>
      </c>
      <c r="B157" s="12" t="s">
        <v>395</v>
      </c>
      <c r="C157" s="13" t="s">
        <v>396</v>
      </c>
      <c r="D157" s="13" t="s">
        <v>392</v>
      </c>
      <c r="E157" s="14">
        <v>1</v>
      </c>
      <c r="F157" s="15">
        <v>1</v>
      </c>
      <c r="G157" s="16">
        <f>E157 * F157 * 636.565554</f>
        <v>636.56555400000002</v>
      </c>
      <c r="H157" s="16">
        <f>E157 * F157 * 10153.76472</f>
        <v>10153.764719999999</v>
      </c>
      <c r="I157" s="16">
        <f t="shared" si="14"/>
        <v>0</v>
      </c>
      <c r="J157" s="16">
        <f>E157 * F157 * 637.838684999999</f>
        <v>637.83868499999903</v>
      </c>
      <c r="K157" s="16">
        <f>E157 * F157 * 1999.929568</f>
        <v>1999.929568</v>
      </c>
      <c r="L157" s="23">
        <f t="shared" si="15"/>
        <v>13428.098526999998</v>
      </c>
      <c r="M157" s="17">
        <f>SUM(G157:K157)</f>
        <v>13428.098526999998</v>
      </c>
    </row>
    <row r="158" spans="1:13">
      <c r="A158" s="11">
        <v>155</v>
      </c>
      <c r="B158" s="12" t="s">
        <v>397</v>
      </c>
      <c r="C158" s="13" t="s">
        <v>398</v>
      </c>
      <c r="D158" s="13" t="s">
        <v>392</v>
      </c>
      <c r="E158" s="14">
        <v>1</v>
      </c>
      <c r="F158" s="15">
        <v>1</v>
      </c>
      <c r="G158" s="16">
        <f>E158 * F158 * 1164.276032</f>
        <v>1164.276032</v>
      </c>
      <c r="H158" s="16">
        <f>E158 * F158 * 24571.41588</f>
        <v>24571.41588</v>
      </c>
      <c r="I158" s="16">
        <f t="shared" si="14"/>
        <v>0</v>
      </c>
      <c r="J158" s="16">
        <f>E158 * F158 * 1166.604584</f>
        <v>1166.6045839999999</v>
      </c>
      <c r="K158" s="16">
        <f>E158 * F158 * 4707.901887</f>
        <v>4707.901887</v>
      </c>
      <c r="L158" s="23">
        <f t="shared" si="15"/>
        <v>31610.198383000003</v>
      </c>
      <c r="M158" s="17">
        <f>SUM(G158:K158)</f>
        <v>31610.198383000003</v>
      </c>
    </row>
    <row r="159" spans="1:13">
      <c r="A159" s="11">
        <v>156</v>
      </c>
      <c r="B159" s="12" t="s">
        <v>399</v>
      </c>
      <c r="C159" s="13" t="s">
        <v>400</v>
      </c>
      <c r="D159" s="13" t="s">
        <v>401</v>
      </c>
      <c r="E159" s="14">
        <v>1</v>
      </c>
      <c r="F159" s="15">
        <v>1</v>
      </c>
      <c r="G159" s="16">
        <f>E159 * F159 * 2958.018375</f>
        <v>2958.0183750000001</v>
      </c>
      <c r="H159" s="16">
        <f>E159 * F159 * 8868.028305</f>
        <v>8868.0283049999998</v>
      </c>
      <c r="I159" s="16">
        <f t="shared" si="14"/>
        <v>0</v>
      </c>
      <c r="J159" s="16">
        <f>E159 * F159 * 2963.93441199999</f>
        <v>2963.9344119999901</v>
      </c>
      <c r="K159" s="16">
        <f>E159 * F159 * 2588.246691</f>
        <v>2588.2466909999998</v>
      </c>
      <c r="L159" s="23">
        <f t="shared" si="15"/>
        <v>17378.227782999988</v>
      </c>
      <c r="M159" s="17">
        <f>SUM(G159:K159)</f>
        <v>17378.227782999988</v>
      </c>
    </row>
    <row r="160" spans="1:13" ht="25.5">
      <c r="A160" s="11">
        <v>157</v>
      </c>
      <c r="B160" s="12" t="s">
        <v>402</v>
      </c>
      <c r="C160" s="13" t="s">
        <v>403</v>
      </c>
      <c r="D160" s="13" t="s">
        <v>404</v>
      </c>
      <c r="E160" s="14">
        <v>1</v>
      </c>
      <c r="F160" s="15">
        <v>1</v>
      </c>
      <c r="G160" s="16">
        <f>E160 * F160 * 168741.804</f>
        <v>168741.804</v>
      </c>
      <c r="H160" s="16">
        <f>E160 * F160 * 16144.979279</f>
        <v>16144.979278999999</v>
      </c>
      <c r="I160" s="16">
        <f t="shared" si="14"/>
        <v>0</v>
      </c>
      <c r="J160" s="16">
        <f>E160 * F160 * 169079.287607999</f>
        <v>169079.28760799899</v>
      </c>
      <c r="K160" s="16">
        <f>E160 * F160 * 61944.062406</f>
        <v>61944.062405999997</v>
      </c>
      <c r="L160" s="23">
        <f t="shared" si="12"/>
        <v>4159.1013329299903</v>
      </c>
      <c r="M160" s="17">
        <f>SUM(G160:K160)</f>
        <v>415910.133292999</v>
      </c>
    </row>
    <row r="161" spans="1:13" ht="25.5">
      <c r="A161" s="11">
        <v>158</v>
      </c>
      <c r="B161" s="12" t="s">
        <v>405</v>
      </c>
      <c r="C161" s="13" t="s">
        <v>406</v>
      </c>
      <c r="D161" s="13" t="s">
        <v>404</v>
      </c>
      <c r="E161" s="14">
        <v>1</v>
      </c>
      <c r="F161" s="15">
        <v>1</v>
      </c>
      <c r="G161" s="16">
        <f>E161 * F161 * 216953.748</f>
        <v>216953.74799999999</v>
      </c>
      <c r="H161" s="16">
        <f>E161 * F161 * 17850.50341</f>
        <v>17850.503410000001</v>
      </c>
      <c r="I161" s="16">
        <f t="shared" si="14"/>
        <v>0</v>
      </c>
      <c r="J161" s="16">
        <f>E161 * F161 * 217387.655496</f>
        <v>217387.65549599999</v>
      </c>
      <c r="K161" s="16">
        <f>E161 * F161 * 79133.583709</f>
        <v>79133.583708999999</v>
      </c>
      <c r="L161" s="23">
        <f t="shared" si="12"/>
        <v>5313.2549061500004</v>
      </c>
      <c r="M161" s="17">
        <f>SUM(G161:K161)</f>
        <v>531325.49061500002</v>
      </c>
    </row>
    <row r="162" spans="1:13" ht="25.5">
      <c r="A162" s="11">
        <v>159</v>
      </c>
      <c r="B162" s="12" t="s">
        <v>407</v>
      </c>
      <c r="C162" s="13" t="s">
        <v>408</v>
      </c>
      <c r="D162" s="13" t="s">
        <v>404</v>
      </c>
      <c r="E162" s="14">
        <v>1</v>
      </c>
      <c r="F162" s="15">
        <v>1</v>
      </c>
      <c r="G162" s="16">
        <f>E162 * F162 * 243470.3172</f>
        <v>243470.31719999999</v>
      </c>
      <c r="H162" s="16">
        <f>E162 * F162 * 18171.263865</f>
        <v>18171.263865000001</v>
      </c>
      <c r="I162" s="16">
        <f t="shared" si="14"/>
        <v>0</v>
      </c>
      <c r="J162" s="16">
        <f>E162 * F162 * 243957.257834</f>
        <v>243957.25783399999</v>
      </c>
      <c r="K162" s="16">
        <f>E162 * F162 * 88479.796807</f>
        <v>88479.796807000006</v>
      </c>
      <c r="L162" s="23">
        <f t="shared" si="12"/>
        <v>5940.7863570600002</v>
      </c>
      <c r="M162" s="17">
        <f>SUM(G162:K162)</f>
        <v>594078.63570600003</v>
      </c>
    </row>
    <row r="163" spans="1:13">
      <c r="A163" s="11">
        <v>160</v>
      </c>
      <c r="B163" s="12" t="s">
        <v>409</v>
      </c>
      <c r="C163" s="13" t="s">
        <v>410</v>
      </c>
      <c r="D163" s="13" t="s">
        <v>247</v>
      </c>
      <c r="E163" s="14">
        <v>1</v>
      </c>
      <c r="F163" s="15">
        <v>1</v>
      </c>
      <c r="G163" s="16">
        <f>E163 * F163 * 30723.287</f>
        <v>30723.287</v>
      </c>
      <c r="H163" s="16">
        <f>E163 * F163 * 666256.488429</f>
        <v>666256.48842900002</v>
      </c>
      <c r="I163" s="16">
        <f t="shared" si="14"/>
        <v>0</v>
      </c>
      <c r="J163" s="16">
        <f>E163 * F163 * 30784.7335739999</f>
        <v>30784.7335739999</v>
      </c>
      <c r="K163" s="16">
        <f>E163 * F163 * 127358.789075</f>
        <v>127358.78907499999</v>
      </c>
      <c r="L163" s="23">
        <f t="shared" si="12"/>
        <v>8551.2329807799997</v>
      </c>
      <c r="M163" s="17">
        <f>SUM(G163:K163)</f>
        <v>855123.29807799996</v>
      </c>
    </row>
    <row r="164" spans="1:13">
      <c r="A164" s="11">
        <v>161</v>
      </c>
      <c r="B164" s="12" t="s">
        <v>411</v>
      </c>
      <c r="C164" s="13" t="s">
        <v>412</v>
      </c>
      <c r="D164" s="13" t="s">
        <v>247</v>
      </c>
      <c r="E164" s="14">
        <v>1</v>
      </c>
      <c r="F164" s="15">
        <v>1</v>
      </c>
      <c r="G164" s="16">
        <f>E164 * F164 * 35660.958125</f>
        <v>35660.958124999997</v>
      </c>
      <c r="H164" s="16">
        <f>E164 * F164 * 1408732.231421</f>
        <v>1408732.2314210001</v>
      </c>
      <c r="I164" s="16">
        <f t="shared" si="14"/>
        <v>0</v>
      </c>
      <c r="J164" s="16">
        <f>E164 * F164 * 35732.280042</f>
        <v>35732.280041999999</v>
      </c>
      <c r="K164" s="16">
        <f>E164 * F164 * 259021.957178</f>
        <v>259021.95717800001</v>
      </c>
      <c r="L164" s="23">
        <f t="shared" si="12"/>
        <v>17391.474267659996</v>
      </c>
      <c r="M164" s="17">
        <f>SUM(G164:K164)</f>
        <v>1739147.4267659998</v>
      </c>
    </row>
    <row r="165" spans="1:13">
      <c r="A165" s="11">
        <v>162</v>
      </c>
      <c r="B165" s="12" t="s">
        <v>413</v>
      </c>
      <c r="C165" s="13" t="s">
        <v>414</v>
      </c>
      <c r="D165" s="13" t="s">
        <v>247</v>
      </c>
      <c r="E165" s="14">
        <v>1</v>
      </c>
      <c r="F165" s="15">
        <v>1</v>
      </c>
      <c r="G165" s="16">
        <f>E165 * F165 * 40598.6292499999</f>
        <v>40598.629249999904</v>
      </c>
      <c r="H165" s="16">
        <f>E165 * F165 * 2022686.508087</f>
        <v>2022686.5080870001</v>
      </c>
      <c r="I165" s="16">
        <f t="shared" si="14"/>
        <v>0</v>
      </c>
      <c r="J165" s="16">
        <f>E165 * F165 * 40679.826508</f>
        <v>40679.826507999998</v>
      </c>
      <c r="K165" s="16">
        <f>E165 * F165 * 368193.868673</f>
        <v>368193.86867300002</v>
      </c>
      <c r="L165" s="23">
        <f t="shared" si="12"/>
        <v>24721.588325180001</v>
      </c>
      <c r="M165" s="17">
        <f>SUM(G165:K165)</f>
        <v>2472158.8325180002</v>
      </c>
    </row>
    <row r="166" spans="1:13" ht="25.5">
      <c r="A166" s="11">
        <v>163</v>
      </c>
      <c r="B166" s="12" t="s">
        <v>415</v>
      </c>
      <c r="C166" s="13" t="s">
        <v>416</v>
      </c>
      <c r="D166" s="13" t="s">
        <v>247</v>
      </c>
      <c r="E166" s="14">
        <v>1</v>
      </c>
      <c r="F166" s="15">
        <v>1</v>
      </c>
      <c r="G166" s="16">
        <f>E166 * F166 * 44987.67025</f>
        <v>44987.670250000003</v>
      </c>
      <c r="H166" s="16">
        <f>E166 * F166 * 12969.163101</f>
        <v>12969.163101</v>
      </c>
      <c r="I166" s="16">
        <f t="shared" si="14"/>
        <v>0</v>
      </c>
      <c r="J166" s="16">
        <f>E166 * F166 * 45077.645591</f>
        <v>45077.645591</v>
      </c>
      <c r="K166" s="16">
        <f>E166 * F166 * 18031.033815</f>
        <v>18031.033814999999</v>
      </c>
      <c r="L166" s="23">
        <f t="shared" si="12"/>
        <v>1210.6551275700001</v>
      </c>
      <c r="M166" s="17">
        <f>SUM(G166:K166)</f>
        <v>121065.512757</v>
      </c>
    </row>
    <row r="167" spans="1:13" ht="25.5">
      <c r="A167" s="11">
        <v>164</v>
      </c>
      <c r="B167" s="12" t="s">
        <v>417</v>
      </c>
      <c r="C167" s="13" t="s">
        <v>418</v>
      </c>
      <c r="D167" s="13" t="s">
        <v>247</v>
      </c>
      <c r="E167" s="14">
        <v>1</v>
      </c>
      <c r="F167" s="15">
        <v>1</v>
      </c>
      <c r="G167" s="16">
        <f>E167 * F167 * 59252.0535</f>
        <v>59252.053500000002</v>
      </c>
      <c r="H167" s="16">
        <f>E167 * F167 * 38960.41027</f>
        <v>38960.41027</v>
      </c>
      <c r="I167" s="16">
        <f t="shared" si="14"/>
        <v>0</v>
      </c>
      <c r="J167" s="16">
        <f>E167 * F167 * 59370.5576069999</f>
        <v>59370.557606999901</v>
      </c>
      <c r="K167" s="16">
        <f>E167 * F167 * 27577.028741</f>
        <v>27577.028740999998</v>
      </c>
      <c r="L167" s="23">
        <f t="shared" si="12"/>
        <v>1851.6005011799989</v>
      </c>
      <c r="M167" s="17">
        <f>SUM(G167:K167)</f>
        <v>185160.0501179999</v>
      </c>
    </row>
    <row r="168" spans="1:13" ht="25.5">
      <c r="A168" s="11">
        <v>165</v>
      </c>
      <c r="B168" s="12" t="s">
        <v>419</v>
      </c>
      <c r="C168" s="13" t="s">
        <v>420</v>
      </c>
      <c r="D168" s="13" t="s">
        <v>421</v>
      </c>
      <c r="E168" s="14">
        <v>1</v>
      </c>
      <c r="F168" s="15">
        <v>1</v>
      </c>
      <c r="G168" s="16">
        <f>E168 * F168 * 8119.72585</f>
        <v>8119.7258499999998</v>
      </c>
      <c r="H168" s="16">
        <f>E168 * F168 * 31244.415473</f>
        <v>31244.415473000001</v>
      </c>
      <c r="I168" s="16">
        <f t="shared" si="14"/>
        <v>0</v>
      </c>
      <c r="J168" s="16">
        <f>E168 * F168 * 8135.965302</f>
        <v>8135.9653019999996</v>
      </c>
      <c r="K168" s="16">
        <f>E168 * F168 * 8312.518659</f>
        <v>8312.5186589999994</v>
      </c>
      <c r="L168" s="23">
        <f t="shared" si="12"/>
        <v>558.12625284000001</v>
      </c>
      <c r="M168" s="17">
        <f>SUM(G168:K168)</f>
        <v>55812.625284000002</v>
      </c>
    </row>
    <row r="169" spans="1:13" ht="25.5">
      <c r="A169" s="11">
        <v>166</v>
      </c>
      <c r="B169" s="12" t="s">
        <v>422</v>
      </c>
      <c r="C169" s="13" t="s">
        <v>423</v>
      </c>
      <c r="D169" s="13" t="s">
        <v>421</v>
      </c>
      <c r="E169" s="14">
        <v>1</v>
      </c>
      <c r="F169" s="15">
        <v>1</v>
      </c>
      <c r="G169" s="16">
        <f>E169 * F169 * 8448.903925</f>
        <v>8448.9039250000005</v>
      </c>
      <c r="H169" s="16">
        <f>E169 * F169 * 32395.272681</f>
        <v>32395.272680999999</v>
      </c>
      <c r="I169" s="16">
        <f t="shared" si="14"/>
        <v>0</v>
      </c>
      <c r="J169" s="16">
        <f>E169 * F169 * 8465.801733</f>
        <v>8465.8017330000002</v>
      </c>
      <c r="K169" s="16">
        <f>E169 * F169 * 8629.246209</f>
        <v>8629.2462090000008</v>
      </c>
      <c r="L169" s="23">
        <f t="shared" si="12"/>
        <v>579.39224547999993</v>
      </c>
      <c r="M169" s="17">
        <f>SUM(G169:K169)</f>
        <v>57939.224547999998</v>
      </c>
    </row>
    <row r="170" spans="1:13" ht="25.5">
      <c r="A170" s="11">
        <v>167</v>
      </c>
      <c r="B170" s="12" t="s">
        <v>424</v>
      </c>
      <c r="C170" s="13" t="s">
        <v>425</v>
      </c>
      <c r="D170" s="13" t="s">
        <v>421</v>
      </c>
      <c r="E170" s="14">
        <v>1</v>
      </c>
      <c r="F170" s="15">
        <v>1</v>
      </c>
      <c r="G170" s="16">
        <f>E170 * F170 * 9107.260075</f>
        <v>9107.2600750000001</v>
      </c>
      <c r="H170" s="16">
        <f>E170 * F170 * 48652.73789</f>
        <v>48652.737889999997</v>
      </c>
      <c r="I170" s="16">
        <f t="shared" si="14"/>
        <v>0</v>
      </c>
      <c r="J170" s="16">
        <f>E170 * F170 * 9125.474596</f>
        <v>9125.474596</v>
      </c>
      <c r="K170" s="16">
        <f>E170 * F170 * 11704.957698</f>
        <v>11704.957698</v>
      </c>
      <c r="L170" s="23">
        <f t="shared" si="12"/>
        <v>785.90430259000004</v>
      </c>
      <c r="M170" s="17">
        <f>SUM(G170:K170)</f>
        <v>78590.430259000001</v>
      </c>
    </row>
    <row r="171" spans="1:13">
      <c r="A171" s="11">
        <v>168</v>
      </c>
      <c r="B171" s="12" t="s">
        <v>426</v>
      </c>
      <c r="C171" s="13" t="s">
        <v>427</v>
      </c>
      <c r="D171" s="13" t="s">
        <v>428</v>
      </c>
      <c r="E171" s="14">
        <v>1</v>
      </c>
      <c r="F171" s="15">
        <v>1</v>
      </c>
      <c r="G171" s="16">
        <f>E171 * F171 * 1440.4</f>
        <v>1440.4</v>
      </c>
      <c r="H171" s="16">
        <f>E171 * F171 * 18567.521594</f>
        <v>18567.521594000002</v>
      </c>
      <c r="I171" s="16">
        <f t="shared" si="14"/>
        <v>0</v>
      </c>
      <c r="J171" s="16">
        <f>E171 * F171 * 1443.2808</f>
        <v>1443.2808</v>
      </c>
      <c r="K171" s="16">
        <f>E171 * F171 * 3753.960419</f>
        <v>3753.960419</v>
      </c>
      <c r="L171" s="23">
        <f t="shared" si="12"/>
        <v>252.05162813000004</v>
      </c>
      <c r="M171" s="17">
        <f>SUM(G171:K171)</f>
        <v>25205.162813000003</v>
      </c>
    </row>
    <row r="172" spans="1:13">
      <c r="A172" s="11">
        <v>169</v>
      </c>
      <c r="B172" s="12" t="s">
        <v>429</v>
      </c>
      <c r="C172" s="13" t="s">
        <v>430</v>
      </c>
      <c r="D172" s="13" t="s">
        <v>428</v>
      </c>
      <c r="E172" s="14">
        <v>1</v>
      </c>
      <c r="F172" s="15">
        <v>1</v>
      </c>
      <c r="G172" s="16">
        <f>E172 * F172 * 1440.4</f>
        <v>1440.4</v>
      </c>
      <c r="H172" s="16">
        <f>E172 * F172 * 26646.067971</f>
        <v>26646.067971</v>
      </c>
      <c r="I172" s="16">
        <f t="shared" si="14"/>
        <v>0</v>
      </c>
      <c r="J172" s="16">
        <f>E172 * F172 * 1443.2808</f>
        <v>1443.2808</v>
      </c>
      <c r="K172" s="16">
        <f>E172 * F172 * 5167.706035</f>
        <v>5167.7060350000002</v>
      </c>
      <c r="L172" s="23">
        <f t="shared" si="12"/>
        <v>346.97454806000002</v>
      </c>
      <c r="M172" s="17">
        <f>SUM(G172:K172)</f>
        <v>34697.454806000002</v>
      </c>
    </row>
    <row r="173" spans="1:13">
      <c r="A173" s="11">
        <v>170</v>
      </c>
      <c r="B173" s="12" t="s">
        <v>431</v>
      </c>
      <c r="C173" s="13" t="s">
        <v>432</v>
      </c>
      <c r="D173" s="13" t="s">
        <v>428</v>
      </c>
      <c r="E173" s="14">
        <v>1</v>
      </c>
      <c r="F173" s="15">
        <v>1</v>
      </c>
      <c r="G173" s="16">
        <f>E173 * F173 * 1440.4</f>
        <v>1440.4</v>
      </c>
      <c r="H173" s="16">
        <f>E173 * F173 * 52021.955957</f>
        <v>52021.955956999998</v>
      </c>
      <c r="I173" s="16">
        <f t="shared" si="14"/>
        <v>0</v>
      </c>
      <c r="J173" s="16">
        <f>E173 * F173 * 1443.2808</f>
        <v>1443.2808</v>
      </c>
      <c r="K173" s="16">
        <f>E173 * F173 * 9608.486433</f>
        <v>9608.486433</v>
      </c>
      <c r="L173" s="23">
        <f t="shared" si="12"/>
        <v>645.14123189999998</v>
      </c>
      <c r="M173" s="17">
        <f>SUM(G173:K173)</f>
        <v>64514.123189999998</v>
      </c>
    </row>
    <row r="174" spans="1:13" ht="25.5">
      <c r="A174" s="11">
        <v>171</v>
      </c>
      <c r="B174" s="12" t="s">
        <v>433</v>
      </c>
      <c r="C174" s="13" t="s">
        <v>434</v>
      </c>
      <c r="D174" s="13" t="s">
        <v>421</v>
      </c>
      <c r="E174" s="14">
        <v>1</v>
      </c>
      <c r="F174" s="15">
        <v>1</v>
      </c>
      <c r="G174" s="16">
        <f>E174 * F174 * 13051.5979</f>
        <v>13051.597900000001</v>
      </c>
      <c r="H174" s="16">
        <f>E174 * F174 * 56821.965405</f>
        <v>56821.965405000003</v>
      </c>
      <c r="I174" s="16">
        <f t="shared" si="14"/>
        <v>0</v>
      </c>
      <c r="J174" s="16">
        <f>E174 * F174 * 13077.701096</f>
        <v>13077.701096000001</v>
      </c>
      <c r="K174" s="16">
        <f>E174 * F174 * 14516.47127</f>
        <v>14516.47127</v>
      </c>
      <c r="L174" s="23">
        <f t="shared" si="12"/>
        <v>974.67735671000003</v>
      </c>
      <c r="M174" s="17">
        <f>SUM(G174:K174)</f>
        <v>97467.735671000002</v>
      </c>
    </row>
    <row r="175" spans="1:13" ht="25.5">
      <c r="A175" s="11">
        <v>172</v>
      </c>
      <c r="B175" s="12" t="s">
        <v>435</v>
      </c>
      <c r="C175" s="13" t="s">
        <v>436</v>
      </c>
      <c r="D175" s="13" t="s">
        <v>421</v>
      </c>
      <c r="E175" s="14">
        <v>1</v>
      </c>
      <c r="F175" s="15">
        <v>1</v>
      </c>
      <c r="G175" s="16">
        <f>E175 * F175 * 15187.31392</f>
        <v>15187.313920000001</v>
      </c>
      <c r="H175" s="16">
        <f>E175 * F175 * 59521.101405</f>
        <v>59521.101405000001</v>
      </c>
      <c r="I175" s="16">
        <f t="shared" si="14"/>
        <v>0</v>
      </c>
      <c r="J175" s="16">
        <f>E175 * F175 * 15217.6885479999</f>
        <v>15217.6885479999</v>
      </c>
      <c r="K175" s="16">
        <f>E175 * F175 * 15737.068177</f>
        <v>15737.068176999999</v>
      </c>
      <c r="L175" s="23">
        <f t="shared" si="12"/>
        <v>1056.6317204999991</v>
      </c>
      <c r="M175" s="17">
        <f>SUM(G175:K175)</f>
        <v>105663.17204999991</v>
      </c>
    </row>
    <row r="176" spans="1:13" ht="25.5">
      <c r="A176" s="11">
        <v>173</v>
      </c>
      <c r="B176" s="12" t="s">
        <v>437</v>
      </c>
      <c r="C176" s="13" t="s">
        <v>438</v>
      </c>
      <c r="D176" s="13" t="s">
        <v>439</v>
      </c>
      <c r="E176" s="14">
        <v>1</v>
      </c>
      <c r="F176" s="15">
        <v>1</v>
      </c>
      <c r="G176" s="16">
        <f>E176 * F176 * 123.053564</f>
        <v>123.05356399999999</v>
      </c>
      <c r="H176" s="16">
        <f>E176 * F176 * 7083.9252</f>
        <v>7083.9251999999997</v>
      </c>
      <c r="I176" s="16">
        <f t="shared" si="14"/>
        <v>0</v>
      </c>
      <c r="J176" s="16">
        <f>E176 * F176 * 123.299671</f>
        <v>123.299671</v>
      </c>
      <c r="K176" s="16">
        <f>E176 * F176 * 1282.79872699999</f>
        <v>1282.7987269999901</v>
      </c>
      <c r="L176" s="23">
        <f>M176/E176/F176</f>
        <v>8613.0771619999887</v>
      </c>
      <c r="M176" s="17">
        <f>SUM(G176:K176)</f>
        <v>8613.0771619999887</v>
      </c>
    </row>
    <row r="177" spans="1:13" ht="25.5">
      <c r="A177" s="11">
        <v>174</v>
      </c>
      <c r="B177" s="12" t="s">
        <v>440</v>
      </c>
      <c r="C177" s="13" t="s">
        <v>441</v>
      </c>
      <c r="D177" s="13" t="s">
        <v>439</v>
      </c>
      <c r="E177" s="14">
        <v>1</v>
      </c>
      <c r="F177" s="15">
        <v>1</v>
      </c>
      <c r="G177" s="16">
        <f>E177 * F177 * 123.053564</f>
        <v>123.05356399999999</v>
      </c>
      <c r="H177" s="16">
        <f>E177 * F177 * 15402.34872</f>
        <v>15402.34872</v>
      </c>
      <c r="I177" s="16">
        <f t="shared" si="14"/>
        <v>0</v>
      </c>
      <c r="J177" s="16">
        <f>E177 * F177 * 123.299671</f>
        <v>123.299671</v>
      </c>
      <c r="K177" s="16">
        <f>E177 * F177 * 2738.52284299999</f>
        <v>2738.5228429999902</v>
      </c>
      <c r="L177" s="23">
        <f t="shared" ref="L177:L181" si="16">M177/E177/F177</f>
        <v>18387.224797999992</v>
      </c>
      <c r="M177" s="17">
        <f>SUM(G177:K177)</f>
        <v>18387.224797999992</v>
      </c>
    </row>
    <row r="178" spans="1:13" ht="25.5">
      <c r="A178" s="11">
        <v>175</v>
      </c>
      <c r="B178" s="12" t="s">
        <v>442</v>
      </c>
      <c r="C178" s="13" t="s">
        <v>443</v>
      </c>
      <c r="D178" s="13" t="s">
        <v>439</v>
      </c>
      <c r="E178" s="14">
        <v>1</v>
      </c>
      <c r="F178" s="15">
        <v>1</v>
      </c>
      <c r="G178" s="16">
        <f>E178 * F178 * 123.053564</f>
        <v>123.05356399999999</v>
      </c>
      <c r="H178" s="16">
        <f>E178 * F178 * 18064.97748</f>
        <v>18064.977480000001</v>
      </c>
      <c r="I178" s="16">
        <f t="shared" si="14"/>
        <v>0</v>
      </c>
      <c r="J178" s="16">
        <f>E178 * F178 * 123.299671</f>
        <v>123.299671</v>
      </c>
      <c r="K178" s="16">
        <f>E178 * F178 * 3204.482876</f>
        <v>3204.482876</v>
      </c>
      <c r="L178" s="23">
        <f t="shared" si="16"/>
        <v>21515.813591000006</v>
      </c>
      <c r="M178" s="17">
        <f>SUM(G178:K178)</f>
        <v>21515.813591000006</v>
      </c>
    </row>
    <row r="179" spans="1:13" ht="25.5">
      <c r="A179" s="11">
        <v>176</v>
      </c>
      <c r="B179" s="12" t="s">
        <v>444</v>
      </c>
      <c r="C179" s="13" t="s">
        <v>445</v>
      </c>
      <c r="D179" s="13" t="s">
        <v>439</v>
      </c>
      <c r="E179" s="14">
        <v>1</v>
      </c>
      <c r="F179" s="15">
        <v>1</v>
      </c>
      <c r="G179" s="16">
        <f>E179 * F179 * 123.053564</f>
        <v>123.05356399999999</v>
      </c>
      <c r="H179" s="16">
        <f>E179 * F179 * 20261.61324</f>
        <v>20261.613239999999</v>
      </c>
      <c r="I179" s="16">
        <f t="shared" si="14"/>
        <v>0</v>
      </c>
      <c r="J179" s="16">
        <f>E179 * F179 * 123.299671</f>
        <v>123.299671</v>
      </c>
      <c r="K179" s="16">
        <f>E179 * F179 * 3588.894134</f>
        <v>3588.8941340000001</v>
      </c>
      <c r="L179" s="23">
        <f t="shared" si="16"/>
        <v>24096.860609000003</v>
      </c>
      <c r="M179" s="17">
        <f>SUM(G179:K179)</f>
        <v>24096.860609000003</v>
      </c>
    </row>
    <row r="180" spans="1:13" ht="25.5">
      <c r="A180" s="11">
        <v>177</v>
      </c>
      <c r="B180" s="12" t="s">
        <v>446</v>
      </c>
      <c r="C180" s="13" t="s">
        <v>447</v>
      </c>
      <c r="D180" s="13" t="s">
        <v>439</v>
      </c>
      <c r="E180" s="14">
        <v>1</v>
      </c>
      <c r="F180" s="15">
        <v>1</v>
      </c>
      <c r="G180" s="16">
        <f>E180 * F180 * 2750.479034</f>
        <v>2750.479034</v>
      </c>
      <c r="H180" s="16">
        <f>E180 * F180 * 123909.02964</f>
        <v>123909.02963999999</v>
      </c>
      <c r="I180" s="16">
        <f t="shared" si="14"/>
        <v>0</v>
      </c>
      <c r="J180" s="16">
        <f>E180 * F180 * 2755.979992</f>
        <v>2755.979992</v>
      </c>
      <c r="K180" s="16">
        <f>E180 * F180 * 22647.710517</f>
        <v>22647.710517</v>
      </c>
      <c r="L180" s="23">
        <f t="shared" si="16"/>
        <v>152063.19918299999</v>
      </c>
      <c r="M180" s="17">
        <f>SUM(G180:K180)</f>
        <v>152063.19918299999</v>
      </c>
    </row>
    <row r="181" spans="1:13" ht="25.5">
      <c r="A181" s="11">
        <v>178</v>
      </c>
      <c r="B181" s="12" t="s">
        <v>448</v>
      </c>
      <c r="C181" s="13" t="s">
        <v>449</v>
      </c>
      <c r="D181" s="13" t="s">
        <v>439</v>
      </c>
      <c r="E181" s="14">
        <v>1</v>
      </c>
      <c r="F181" s="15">
        <v>1</v>
      </c>
      <c r="G181" s="16">
        <f>E181 * F181 * 3765.531324</f>
        <v>3765.531324</v>
      </c>
      <c r="H181" s="16">
        <f>E181 * F181 * 154797.02964</f>
        <v>154797.02963999999</v>
      </c>
      <c r="I181" s="16">
        <f t="shared" ref="I181:I212" si="17">E181 * F181 * 0</f>
        <v>0</v>
      </c>
      <c r="J181" s="16">
        <f>E181 * F181 * 3773.062387</f>
        <v>3773.0623869999999</v>
      </c>
      <c r="K181" s="16">
        <f>E181 * F181 * 28408.734086</f>
        <v>28408.734086</v>
      </c>
      <c r="L181" s="23">
        <f t="shared" si="16"/>
        <v>190744.35743700003</v>
      </c>
      <c r="M181" s="17">
        <f>SUM(G181:K181)</f>
        <v>190744.35743700003</v>
      </c>
    </row>
    <row r="182" spans="1:13" ht="38.25">
      <c r="A182" s="11">
        <v>179</v>
      </c>
      <c r="B182" s="12" t="s">
        <v>450</v>
      </c>
      <c r="C182" s="13" t="s">
        <v>451</v>
      </c>
      <c r="D182" s="13" t="s">
        <v>452</v>
      </c>
      <c r="E182" s="14">
        <v>1</v>
      </c>
      <c r="F182" s="15">
        <v>1</v>
      </c>
      <c r="G182" s="16">
        <f>E182 * F182 * 8536.684745</f>
        <v>8536.6847450000005</v>
      </c>
      <c r="H182" s="16">
        <f>E182 * F182 * 17049.576135</f>
        <v>17049.576134999999</v>
      </c>
      <c r="I182" s="16">
        <f t="shared" si="17"/>
        <v>0</v>
      </c>
      <c r="J182" s="16">
        <f>E182 * F182 * 8553.758115</f>
        <v>8553.7581150000005</v>
      </c>
      <c r="K182" s="16">
        <f>E182 * F182 * 5974.50332399999</f>
        <v>5974.5033239999902</v>
      </c>
      <c r="L182" s="23">
        <f t="shared" si="12"/>
        <v>401.14522318999997</v>
      </c>
      <c r="M182" s="17">
        <f>SUM(G182:K182)</f>
        <v>40114.522318999996</v>
      </c>
    </row>
    <row r="183" spans="1:13" ht="38.25">
      <c r="A183" s="11">
        <v>180</v>
      </c>
      <c r="B183" s="12" t="s">
        <v>453</v>
      </c>
      <c r="C183" s="13" t="s">
        <v>454</v>
      </c>
      <c r="D183" s="13" t="s">
        <v>452</v>
      </c>
      <c r="E183" s="14">
        <v>1</v>
      </c>
      <c r="F183" s="15">
        <v>1</v>
      </c>
      <c r="G183" s="16">
        <f>E183 * F183 * 9425.465548</f>
        <v>9425.4655480000001</v>
      </c>
      <c r="H183" s="16">
        <f>E183 * F183 * 22298.516535</f>
        <v>22298.516534999999</v>
      </c>
      <c r="I183" s="16">
        <f t="shared" si="17"/>
        <v>0</v>
      </c>
      <c r="J183" s="16">
        <f>E183 * F183 * 9444.316479</f>
        <v>9444.3164789999992</v>
      </c>
      <c r="K183" s="16">
        <f>E183 * F183 * 7204.452248</f>
        <v>7204.4522479999996</v>
      </c>
      <c r="L183" s="23">
        <f t="shared" si="12"/>
        <v>483.72750809999997</v>
      </c>
      <c r="M183" s="17">
        <f>SUM(G183:K183)</f>
        <v>48372.750809999998</v>
      </c>
    </row>
    <row r="184" spans="1:13" ht="38.25">
      <c r="A184" s="11">
        <v>181</v>
      </c>
      <c r="B184" s="12" t="s">
        <v>455</v>
      </c>
      <c r="C184" s="13" t="s">
        <v>456</v>
      </c>
      <c r="D184" s="13" t="s">
        <v>452</v>
      </c>
      <c r="E184" s="14">
        <v>1</v>
      </c>
      <c r="F184" s="15">
        <v>1</v>
      </c>
      <c r="G184" s="16">
        <f>E184 * F184 * 10405.318951</f>
        <v>10405.318950999999</v>
      </c>
      <c r="H184" s="16">
        <f>E184 * F184 * 30243.646695</f>
        <v>30243.646694999999</v>
      </c>
      <c r="I184" s="16">
        <f t="shared" si="17"/>
        <v>0</v>
      </c>
      <c r="J184" s="16">
        <f>E184 * F184 * 10426.129589</f>
        <v>10426.129589</v>
      </c>
      <c r="K184" s="16">
        <f>E184 * F184 * 8938.141666</f>
        <v>8938.1416659999995</v>
      </c>
      <c r="L184" s="23">
        <f t="shared" si="12"/>
        <v>600.13236900999993</v>
      </c>
      <c r="M184" s="17">
        <f>SUM(G184:K184)</f>
        <v>60013.236900999997</v>
      </c>
    </row>
    <row r="185" spans="1:13" ht="38.25">
      <c r="A185" s="11">
        <v>182</v>
      </c>
      <c r="B185" s="12" t="s">
        <v>457</v>
      </c>
      <c r="C185" s="13" t="s">
        <v>458</v>
      </c>
      <c r="D185" s="13" t="s">
        <v>452</v>
      </c>
      <c r="E185" s="14">
        <v>1</v>
      </c>
      <c r="F185" s="15">
        <v>1</v>
      </c>
      <c r="G185" s="16">
        <f>E185 * F185 * 12673.355887</f>
        <v>12673.355887</v>
      </c>
      <c r="H185" s="16">
        <f>E185 * F185 * 47308.493116</f>
        <v>47308.493115999998</v>
      </c>
      <c r="I185" s="16">
        <f t="shared" si="17"/>
        <v>0</v>
      </c>
      <c r="J185" s="16">
        <f>E185 * F185 * 12698.702599</f>
        <v>12698.702599</v>
      </c>
      <c r="K185" s="16">
        <f>E185 * F185 * 12719.0965299999</f>
        <v>12719.096529999901</v>
      </c>
      <c r="L185" s="23">
        <f t="shared" si="12"/>
        <v>853.99648131999891</v>
      </c>
      <c r="M185" s="17">
        <f>SUM(G185:K185)</f>
        <v>85399.648131999886</v>
      </c>
    </row>
    <row r="186" spans="1:13" ht="38.25">
      <c r="A186" s="11">
        <v>183</v>
      </c>
      <c r="B186" s="12" t="s">
        <v>459</v>
      </c>
      <c r="C186" s="13" t="s">
        <v>460</v>
      </c>
      <c r="D186" s="13" t="s">
        <v>452</v>
      </c>
      <c r="E186" s="14">
        <v>1</v>
      </c>
      <c r="F186" s="15">
        <v>1</v>
      </c>
      <c r="G186" s="16">
        <f>E186 * F186 * 13320.739435</f>
        <v>13320.739435</v>
      </c>
      <c r="H186" s="16">
        <f>E186 * F186 * 55505.982732</f>
        <v>55505.982731999997</v>
      </c>
      <c r="I186" s="16">
        <f t="shared" si="17"/>
        <v>0</v>
      </c>
      <c r="J186" s="16">
        <f>E186 * F186 * 13347.380913</f>
        <v>13347.380913000001</v>
      </c>
      <c r="K186" s="16">
        <f>E186 * F186 * 14380.468039</f>
        <v>14380.468038999999</v>
      </c>
      <c r="L186" s="23">
        <f t="shared" si="12"/>
        <v>965.54571119000002</v>
      </c>
      <c r="M186" s="17">
        <f>SUM(G186:K186)</f>
        <v>96554.571119</v>
      </c>
    </row>
    <row r="187" spans="1:13" ht="38.25">
      <c r="A187" s="11">
        <v>184</v>
      </c>
      <c r="B187" s="12" t="s">
        <v>461</v>
      </c>
      <c r="C187" s="13" t="s">
        <v>462</v>
      </c>
      <c r="D187" s="13" t="s">
        <v>452</v>
      </c>
      <c r="E187" s="14">
        <v>1</v>
      </c>
      <c r="F187" s="15">
        <v>1</v>
      </c>
      <c r="G187" s="16">
        <f>E187 * F187 * 14802.040772</f>
        <v>14802.040772</v>
      </c>
      <c r="H187" s="16">
        <f>E187 * F187 * 60622.228881</f>
        <v>60622.228881000003</v>
      </c>
      <c r="I187" s="16">
        <f t="shared" si="17"/>
        <v>0</v>
      </c>
      <c r="J187" s="16">
        <f>E187 * F187 * 14831.644853</f>
        <v>14831.644853</v>
      </c>
      <c r="K187" s="16">
        <f>E187 * F187 * 15794.785039</f>
        <v>15794.785039</v>
      </c>
      <c r="L187" s="23">
        <f t="shared" si="12"/>
        <v>1060.50699545</v>
      </c>
      <c r="M187" s="17">
        <f>SUM(G187:K187)</f>
        <v>106050.699545</v>
      </c>
    </row>
    <row r="188" spans="1:13" ht="38.25">
      <c r="A188" s="11">
        <v>185</v>
      </c>
      <c r="B188" s="12" t="s">
        <v>463</v>
      </c>
      <c r="C188" s="13" t="s">
        <v>464</v>
      </c>
      <c r="D188" s="13" t="s">
        <v>452</v>
      </c>
      <c r="E188" s="14">
        <v>1</v>
      </c>
      <c r="F188" s="15">
        <v>1</v>
      </c>
      <c r="G188" s="16">
        <f>E188 * F188 * 17391.574962</f>
        <v>17391.574961999999</v>
      </c>
      <c r="H188" s="16">
        <f>E188 * F188 * 83622.525158</f>
        <v>83622.525158000004</v>
      </c>
      <c r="I188" s="16">
        <f t="shared" si="17"/>
        <v>0</v>
      </c>
      <c r="J188" s="16">
        <f>E188 * F188 * 17426.358112</f>
        <v>17426.358112000002</v>
      </c>
      <c r="K188" s="16">
        <f>E188 * F188 * 20727.08019</f>
        <v>20727.080190000001</v>
      </c>
      <c r="L188" s="23">
        <f t="shared" si="12"/>
        <v>1391.6753842200001</v>
      </c>
      <c r="M188" s="17">
        <f>SUM(G188:K188)</f>
        <v>139167.53842200001</v>
      </c>
    </row>
    <row r="189" spans="1:13" ht="38.25">
      <c r="A189" s="11">
        <v>186</v>
      </c>
      <c r="B189" s="12" t="s">
        <v>465</v>
      </c>
      <c r="C189" s="13" t="s">
        <v>466</v>
      </c>
      <c r="D189" s="13" t="s">
        <v>452</v>
      </c>
      <c r="E189" s="14">
        <v>1</v>
      </c>
      <c r="F189" s="15">
        <v>1</v>
      </c>
      <c r="G189" s="16">
        <f>E189 * F189 * 19180.10917</f>
        <v>19180.10917</v>
      </c>
      <c r="H189" s="16">
        <f>E189 * F189 * 88507.003896</f>
        <v>88507.003895999995</v>
      </c>
      <c r="I189" s="16">
        <f t="shared" si="17"/>
        <v>0</v>
      </c>
      <c r="J189" s="16">
        <f>E189 * F189 * 19218.469388</f>
        <v>19218.469388000001</v>
      </c>
      <c r="K189" s="16">
        <f>E189 * F189 * 22208.476929</f>
        <v>22208.476929</v>
      </c>
      <c r="L189" s="23">
        <f t="shared" si="12"/>
        <v>1491.1405938299999</v>
      </c>
      <c r="M189" s="17">
        <f>SUM(G189:K189)</f>
        <v>149114.05938299999</v>
      </c>
    </row>
    <row r="190" spans="1:13" ht="38.25">
      <c r="A190" s="11">
        <v>187</v>
      </c>
      <c r="B190" s="12" t="s">
        <v>467</v>
      </c>
      <c r="C190" s="13" t="s">
        <v>468</v>
      </c>
      <c r="D190" s="13" t="s">
        <v>452</v>
      </c>
      <c r="E190" s="14">
        <v>1</v>
      </c>
      <c r="F190" s="15">
        <v>1</v>
      </c>
      <c r="G190" s="16">
        <f>E190 * F190 * 13320.739435</f>
        <v>13320.739435</v>
      </c>
      <c r="H190" s="16">
        <f>E190 * F190 * 47039.499316</f>
        <v>47039.499316000001</v>
      </c>
      <c r="I190" s="16">
        <f t="shared" si="17"/>
        <v>0</v>
      </c>
      <c r="J190" s="16">
        <f>E190 * F190 * 13347.380913</f>
        <v>13347.380913000001</v>
      </c>
      <c r="K190" s="16">
        <f>E190 * F190 * 12898.8334409999</f>
        <v>12898.833440999901</v>
      </c>
      <c r="L190" s="23">
        <f t="shared" si="12"/>
        <v>866.064531049999</v>
      </c>
      <c r="M190" s="17">
        <f>SUM(G190:K190)</f>
        <v>86606.453104999906</v>
      </c>
    </row>
    <row r="191" spans="1:13" ht="38.25">
      <c r="A191" s="11">
        <v>188</v>
      </c>
      <c r="B191" s="12" t="s">
        <v>469</v>
      </c>
      <c r="C191" s="13" t="s">
        <v>462</v>
      </c>
      <c r="D191" s="13" t="s">
        <v>452</v>
      </c>
      <c r="E191" s="14">
        <v>1</v>
      </c>
      <c r="F191" s="15">
        <v>1</v>
      </c>
      <c r="G191" s="16">
        <f>E191 * F191 * 14802.040772</f>
        <v>14802.040772</v>
      </c>
      <c r="H191" s="16">
        <f>E191 * F191 * 56961.049225</f>
        <v>56961.049225000002</v>
      </c>
      <c r="I191" s="16">
        <f t="shared" si="17"/>
        <v>0</v>
      </c>
      <c r="J191" s="16">
        <f>E191 * F191 * 14831.644853</f>
        <v>14831.644853</v>
      </c>
      <c r="K191" s="16">
        <f>E191 * F191 * 15154.078599</f>
        <v>15154.078599</v>
      </c>
      <c r="L191" s="23">
        <f t="shared" si="12"/>
        <v>1017.4881344900001</v>
      </c>
      <c r="M191" s="17">
        <f>SUM(G191:K191)</f>
        <v>101748.81344900001</v>
      </c>
    </row>
    <row r="192" spans="1:13" ht="38.25">
      <c r="A192" s="11">
        <v>189</v>
      </c>
      <c r="B192" s="12" t="s">
        <v>470</v>
      </c>
      <c r="C192" s="13" t="s">
        <v>464</v>
      </c>
      <c r="D192" s="13" t="s">
        <v>452</v>
      </c>
      <c r="E192" s="14">
        <v>1</v>
      </c>
      <c r="F192" s="15">
        <v>1</v>
      </c>
      <c r="G192" s="16">
        <f>E192 * F192 * 17391.574962</f>
        <v>17391.574961999999</v>
      </c>
      <c r="H192" s="16">
        <f>E192 * F192 * 78738.343237</f>
        <v>78738.343236999994</v>
      </c>
      <c r="I192" s="16">
        <f t="shared" si="17"/>
        <v>0</v>
      </c>
      <c r="J192" s="16">
        <f>E192 * F192 * 17426.358112</f>
        <v>17426.358112000002</v>
      </c>
      <c r="K192" s="16">
        <f>E192 * F192 * 19872.348354</f>
        <v>19872.348354000002</v>
      </c>
      <c r="L192" s="23">
        <f t="shared" si="12"/>
        <v>1334.2862466500001</v>
      </c>
      <c r="M192" s="17">
        <f>SUM(G192:K192)</f>
        <v>133428.62466500001</v>
      </c>
    </row>
    <row r="193" spans="1:13" ht="38.25">
      <c r="A193" s="11">
        <v>190</v>
      </c>
      <c r="B193" s="12" t="s">
        <v>471</v>
      </c>
      <c r="C193" s="13" t="s">
        <v>472</v>
      </c>
      <c r="D193" s="13" t="s">
        <v>452</v>
      </c>
      <c r="E193" s="14">
        <v>1</v>
      </c>
      <c r="F193" s="15">
        <v>1</v>
      </c>
      <c r="G193" s="16">
        <f>E193 * F193 * 19180.10917</f>
        <v>19180.10917</v>
      </c>
      <c r="H193" s="16">
        <f>E193 * F193 * 82833.137882</f>
        <v>82833.137881999995</v>
      </c>
      <c r="I193" s="16">
        <f t="shared" si="17"/>
        <v>0</v>
      </c>
      <c r="J193" s="16">
        <f>E193 * F193 * 19218.469388</f>
        <v>19218.469388000001</v>
      </c>
      <c r="K193" s="16">
        <f>E193 * F193 * 21215.550377</f>
        <v>21215.550377</v>
      </c>
      <c r="L193" s="23">
        <f t="shared" si="12"/>
        <v>1424.4726681699999</v>
      </c>
      <c r="M193" s="17">
        <f>SUM(G193:K193)</f>
        <v>142447.266817</v>
      </c>
    </row>
    <row r="194" spans="1:13" ht="38.25">
      <c r="A194" s="11">
        <v>191</v>
      </c>
      <c r="B194" s="12" t="s">
        <v>473</v>
      </c>
      <c r="C194" s="13" t="s">
        <v>474</v>
      </c>
      <c r="D194" s="13" t="s">
        <v>452</v>
      </c>
      <c r="E194" s="14">
        <v>1</v>
      </c>
      <c r="F194" s="15">
        <v>1</v>
      </c>
      <c r="G194" s="16">
        <f>E194 * F194 * 13922.7894</f>
        <v>13922.7894</v>
      </c>
      <c r="H194" s="16">
        <f>E194 * F194 * 57087.139841</f>
        <v>57087.139840999997</v>
      </c>
      <c r="I194" s="16">
        <f t="shared" si="17"/>
        <v>0</v>
      </c>
      <c r="J194" s="16">
        <f>E194 * F194 * 13950.6349789999</f>
        <v>13950.6349789999</v>
      </c>
      <c r="K194" s="16">
        <f>E194 * F194 * 14868.098738</f>
        <v>14868.098738000001</v>
      </c>
      <c r="L194" s="23">
        <f t="shared" si="12"/>
        <v>998.28662957999882</v>
      </c>
      <c r="M194" s="17">
        <f>SUM(G194:K194)</f>
        <v>99828.662957999884</v>
      </c>
    </row>
    <row r="195" spans="1:13" ht="38.25">
      <c r="A195" s="11">
        <v>192</v>
      </c>
      <c r="B195" s="12" t="s">
        <v>475</v>
      </c>
      <c r="C195" s="13" t="s">
        <v>476</v>
      </c>
      <c r="D195" s="13" t="s">
        <v>452</v>
      </c>
      <c r="E195" s="14">
        <v>1</v>
      </c>
      <c r="F195" s="15">
        <v>1</v>
      </c>
      <c r="G195" s="16">
        <f>E195 * F195 * 14993.7732</f>
        <v>14993.7732</v>
      </c>
      <c r="H195" s="16">
        <f>E195 * F195 * 76147.889654</f>
        <v>76147.889653999999</v>
      </c>
      <c r="I195" s="16">
        <f t="shared" si="17"/>
        <v>0</v>
      </c>
      <c r="J195" s="16">
        <f>E195 * F195 * 15023.760746</f>
        <v>15023.760746</v>
      </c>
      <c r="K195" s="16">
        <f>E195 * F195 * 18578.94913</f>
        <v>18578.949130000001</v>
      </c>
      <c r="L195" s="23">
        <f t="shared" si="12"/>
        <v>1247.4437273000001</v>
      </c>
      <c r="M195" s="17">
        <f>SUM(G195:K195)</f>
        <v>124744.37273</v>
      </c>
    </row>
    <row r="196" spans="1:13" ht="25.5">
      <c r="A196" s="11">
        <v>193</v>
      </c>
      <c r="B196" s="12" t="s">
        <v>477</v>
      </c>
      <c r="C196" s="13" t="s">
        <v>478</v>
      </c>
      <c r="D196" s="13" t="s">
        <v>452</v>
      </c>
      <c r="E196" s="14">
        <v>1</v>
      </c>
      <c r="F196" s="15">
        <v>1</v>
      </c>
      <c r="G196" s="16">
        <f>E196 * F196 * 22198.067026</f>
        <v>22198.067026000001</v>
      </c>
      <c r="H196" s="16">
        <f>E196 * F196 * 96022.578501</f>
        <v>96022.578500999996</v>
      </c>
      <c r="I196" s="16">
        <f t="shared" si="17"/>
        <v>0</v>
      </c>
      <c r="J196" s="16">
        <f>E196 * F196 * 22242.46316</f>
        <v>22242.463159999999</v>
      </c>
      <c r="K196" s="16">
        <f>E196 * F196 * 24581.044021</f>
        <v>24581.044021000002</v>
      </c>
      <c r="L196" s="23">
        <f t="shared" si="12"/>
        <v>1650.44152708</v>
      </c>
      <c r="M196" s="17">
        <f>SUM(G196:K196)</f>
        <v>165044.15270800001</v>
      </c>
    </row>
    <row r="197" spans="1:13" ht="38.25">
      <c r="A197" s="11">
        <v>194</v>
      </c>
      <c r="B197" s="12" t="s">
        <v>479</v>
      </c>
      <c r="C197" s="13" t="s">
        <v>480</v>
      </c>
      <c r="D197" s="13" t="s">
        <v>452</v>
      </c>
      <c r="E197" s="14">
        <v>1</v>
      </c>
      <c r="F197" s="15">
        <v>1</v>
      </c>
      <c r="G197" s="16">
        <f>E197 * F197 * 25406.734491</f>
        <v>25406.734490999999</v>
      </c>
      <c r="H197" s="16">
        <f>E197 * F197 * 108726.001068</f>
        <v>108726.001068</v>
      </c>
      <c r="I197" s="16">
        <f t="shared" si="17"/>
        <v>0</v>
      </c>
      <c r="J197" s="16">
        <f>E197 * F197 * 25457.54796</f>
        <v>25457.54796</v>
      </c>
      <c r="K197" s="16">
        <f>E197 * F197 * 27928.299616</f>
        <v>27928.299616</v>
      </c>
      <c r="L197" s="23">
        <f t="shared" ref="L197:L259" si="18">M197/E197/F197/100</f>
        <v>1875.1858313499999</v>
      </c>
      <c r="M197" s="17">
        <f>SUM(G197:K197)</f>
        <v>187518.58313499999</v>
      </c>
    </row>
    <row r="198" spans="1:13" ht="25.5">
      <c r="A198" s="11">
        <v>195</v>
      </c>
      <c r="B198" s="12" t="s">
        <v>481</v>
      </c>
      <c r="C198" s="13" t="s">
        <v>482</v>
      </c>
      <c r="D198" s="13" t="s">
        <v>452</v>
      </c>
      <c r="E198" s="14">
        <v>1</v>
      </c>
      <c r="F198" s="15">
        <v>1</v>
      </c>
      <c r="G198" s="16">
        <f>E198 * F198 * 17382.355385</f>
        <v>17382.355384999999</v>
      </c>
      <c r="H198" s="16">
        <f>E198 * F198 * 69150.19316</f>
        <v>69150.193159999995</v>
      </c>
      <c r="I198" s="16">
        <f t="shared" si="17"/>
        <v>0</v>
      </c>
      <c r="J198" s="16">
        <f>E198 * F198 * 17417.120096</f>
        <v>17417.120095999999</v>
      </c>
      <c r="K198" s="16">
        <f>E198 * F198 * 18191.192012</f>
        <v>18191.192012</v>
      </c>
      <c r="L198" s="23">
        <f t="shared" si="18"/>
        <v>1221.40860653</v>
      </c>
      <c r="M198" s="17">
        <f>SUM(G198:K198)</f>
        <v>122140.860653</v>
      </c>
    </row>
    <row r="199" spans="1:13" ht="25.5">
      <c r="A199" s="11">
        <v>196</v>
      </c>
      <c r="B199" s="12" t="s">
        <v>483</v>
      </c>
      <c r="C199" s="13" t="s">
        <v>484</v>
      </c>
      <c r="D199" s="13" t="s">
        <v>452</v>
      </c>
      <c r="E199" s="14">
        <v>1</v>
      </c>
      <c r="F199" s="15">
        <v>1</v>
      </c>
      <c r="G199" s="16">
        <f>E199 * F199 * 17417.950652</f>
        <v>17417.950652</v>
      </c>
      <c r="H199" s="16">
        <f>E199 * F199 * 99149.609552</f>
        <v>99149.609551999994</v>
      </c>
      <c r="I199" s="16">
        <f t="shared" si="17"/>
        <v>0</v>
      </c>
      <c r="J199" s="16">
        <f>E199 * F199 * 17452.7865529999</f>
        <v>17452.7865529999</v>
      </c>
      <c r="K199" s="16">
        <f>E199 * F199 * 23453.560683</f>
        <v>23453.560683</v>
      </c>
      <c r="L199" s="23">
        <f t="shared" si="18"/>
        <v>1574.739074399999</v>
      </c>
      <c r="M199" s="17">
        <f>SUM(G199:K199)</f>
        <v>157473.90743999989</v>
      </c>
    </row>
    <row r="200" spans="1:13" ht="38.25">
      <c r="A200" s="11">
        <v>197</v>
      </c>
      <c r="B200" s="12" t="s">
        <v>485</v>
      </c>
      <c r="C200" s="13" t="s">
        <v>486</v>
      </c>
      <c r="D200" s="13" t="s">
        <v>327</v>
      </c>
      <c r="E200" s="14">
        <v>1</v>
      </c>
      <c r="F200" s="15">
        <v>1</v>
      </c>
      <c r="G200" s="16">
        <f>E200 * F200 * 7755.26586</f>
        <v>7755.2658600000004</v>
      </c>
      <c r="H200" s="16">
        <f>E200 * F200 * 47826.82729</f>
        <v>47826.827290000001</v>
      </c>
      <c r="I200" s="16">
        <f t="shared" si="17"/>
        <v>0</v>
      </c>
      <c r="J200" s="16">
        <f>E200 * F200 * 7770.776392</f>
        <v>7770.7763919999998</v>
      </c>
      <c r="K200" s="16">
        <f>E200 * F200 * 11086.75217</f>
        <v>11086.75217</v>
      </c>
      <c r="L200" s="23">
        <f t="shared" si="18"/>
        <v>744.39621711999996</v>
      </c>
      <c r="M200" s="17">
        <f>SUM(G200:K200)</f>
        <v>74439.621711999993</v>
      </c>
    </row>
    <row r="201" spans="1:13" ht="38.25">
      <c r="A201" s="11">
        <v>198</v>
      </c>
      <c r="B201" s="12" t="s">
        <v>487</v>
      </c>
      <c r="C201" s="13" t="s">
        <v>488</v>
      </c>
      <c r="D201" s="13" t="s">
        <v>327</v>
      </c>
      <c r="E201" s="14">
        <v>1</v>
      </c>
      <c r="F201" s="15">
        <v>1</v>
      </c>
      <c r="G201" s="16">
        <f>E201 * F201 * 9432.0801</f>
        <v>9432.0800999999992</v>
      </c>
      <c r="H201" s="16">
        <f>E201 * F201 * 47826.82729</f>
        <v>47826.827290000001</v>
      </c>
      <c r="I201" s="16">
        <f t="shared" si="17"/>
        <v>0</v>
      </c>
      <c r="J201" s="16">
        <f>E201 * F201 * 9450.94426</f>
        <v>9450.9442600000002</v>
      </c>
      <c r="K201" s="16">
        <f>E201 * F201 * 11674.224039</f>
        <v>11674.224039000001</v>
      </c>
      <c r="L201" s="23">
        <f t="shared" si="18"/>
        <v>783.84075688999985</v>
      </c>
      <c r="M201" s="17">
        <f>SUM(G201:K201)</f>
        <v>78384.07568899999</v>
      </c>
    </row>
    <row r="202" spans="1:13">
      <c r="A202" s="11">
        <v>199</v>
      </c>
      <c r="B202" s="12" t="s">
        <v>489</v>
      </c>
      <c r="C202" s="13" t="s">
        <v>490</v>
      </c>
      <c r="D202" s="13" t="s">
        <v>491</v>
      </c>
      <c r="E202" s="14">
        <v>1</v>
      </c>
      <c r="F202" s="15">
        <v>1</v>
      </c>
      <c r="G202" s="16">
        <f>E202 * F202 * 794.99</f>
        <v>794.99</v>
      </c>
      <c r="H202" s="16">
        <f>E202 * F202 * 8924.711434</f>
        <v>8924.7114340000007</v>
      </c>
      <c r="I202" s="16">
        <f t="shared" si="17"/>
        <v>0</v>
      </c>
      <c r="J202" s="16">
        <f>E202 * F202 * 796.57998</f>
        <v>796.57997999999998</v>
      </c>
      <c r="K202" s="16">
        <f>E202 * F202 * 1840.34924699999</f>
        <v>1840.3492469999901</v>
      </c>
      <c r="L202" s="23">
        <f t="shared" si="18"/>
        <v>123.56630660999991</v>
      </c>
      <c r="M202" s="17">
        <f>SUM(G202:K202)</f>
        <v>12356.630660999992</v>
      </c>
    </row>
    <row r="203" spans="1:13">
      <c r="A203" s="11">
        <v>200</v>
      </c>
      <c r="B203" s="12" t="s">
        <v>492</v>
      </c>
      <c r="C203" s="13" t="s">
        <v>493</v>
      </c>
      <c r="D203" s="13" t="s">
        <v>491</v>
      </c>
      <c r="E203" s="14">
        <v>1</v>
      </c>
      <c r="F203" s="15">
        <v>1</v>
      </c>
      <c r="G203" s="16">
        <f>E203 * F203 * 1152.32</f>
        <v>1152.32</v>
      </c>
      <c r="H203" s="16">
        <f>E203 * F203 * 19274.076814</f>
        <v>19274.076814</v>
      </c>
      <c r="I203" s="16">
        <f t="shared" si="17"/>
        <v>0</v>
      </c>
      <c r="J203" s="16">
        <f>E203 * F203 * 1154.62464</f>
        <v>1154.62464</v>
      </c>
      <c r="K203" s="16">
        <f>E203 * F203 * 3776.67875399999</f>
        <v>3776.67875399999</v>
      </c>
      <c r="L203" s="23">
        <f t="shared" si="18"/>
        <v>253.57700207999991</v>
      </c>
      <c r="M203" s="17">
        <f>SUM(G203:K203)</f>
        <v>25357.700207999991</v>
      </c>
    </row>
    <row r="204" spans="1:13">
      <c r="A204" s="11">
        <v>201</v>
      </c>
      <c r="B204" s="12" t="s">
        <v>494</v>
      </c>
      <c r="C204" s="13" t="s">
        <v>495</v>
      </c>
      <c r="D204" s="13" t="s">
        <v>491</v>
      </c>
      <c r="E204" s="14">
        <v>1</v>
      </c>
      <c r="F204" s="15">
        <v>1</v>
      </c>
      <c r="G204" s="16">
        <f>E204 * F204 * 1966.7</f>
        <v>1966.7</v>
      </c>
      <c r="H204" s="16">
        <f>E204 * F204 * 34702.363062</f>
        <v>34702.363061999997</v>
      </c>
      <c r="I204" s="16">
        <f t="shared" si="17"/>
        <v>0</v>
      </c>
      <c r="J204" s="16">
        <f>E204 * F204 * 1970.6334</f>
        <v>1970.6333999999999</v>
      </c>
      <c r="K204" s="16">
        <f>E204 * F204 * 6761.946881</f>
        <v>6761.9468809999998</v>
      </c>
      <c r="L204" s="23">
        <f t="shared" si="18"/>
        <v>454.01643342999989</v>
      </c>
      <c r="M204" s="17">
        <f>SUM(G204:K204)</f>
        <v>45401.643342999989</v>
      </c>
    </row>
    <row r="205" spans="1:13" ht="38.25">
      <c r="A205" s="11">
        <v>202</v>
      </c>
      <c r="B205" s="12" t="s">
        <v>496</v>
      </c>
      <c r="C205" s="13" t="s">
        <v>497</v>
      </c>
      <c r="D205" s="13" t="s">
        <v>498</v>
      </c>
      <c r="E205" s="14">
        <v>1</v>
      </c>
      <c r="F205" s="15">
        <v>1</v>
      </c>
      <c r="G205" s="16">
        <f>E205 * F205 * 27.248231</f>
        <v>27.248231000000001</v>
      </c>
      <c r="H205" s="16">
        <f>E205 * F205 * 5.845115</f>
        <v>5.8451149999999998</v>
      </c>
      <c r="I205" s="16">
        <f t="shared" si="17"/>
        <v>0</v>
      </c>
      <c r="J205" s="16">
        <f>E205 * F205 * 27.302728</f>
        <v>27.302727999999998</v>
      </c>
      <c r="K205" s="16">
        <f>E205 * F205 * 10.569313</f>
        <v>10.569312999999999</v>
      </c>
      <c r="L205" s="23">
        <f>M205/E205/F205</f>
        <v>70.965386999999993</v>
      </c>
      <c r="M205" s="17">
        <f>SUM(G205:K205)</f>
        <v>70.965386999999993</v>
      </c>
    </row>
    <row r="206" spans="1:13" ht="38.25">
      <c r="A206" s="11">
        <v>203</v>
      </c>
      <c r="B206" s="12" t="s">
        <v>499</v>
      </c>
      <c r="C206" s="13" t="s">
        <v>500</v>
      </c>
      <c r="D206" s="13" t="s">
        <v>498</v>
      </c>
      <c r="E206" s="14">
        <v>1</v>
      </c>
      <c r="F206" s="15">
        <v>1</v>
      </c>
      <c r="G206" s="16">
        <f>E206 * F206 * 27.248231</f>
        <v>27.248231000000001</v>
      </c>
      <c r="H206" s="16">
        <f>E206 * F206 * 12.019567</f>
        <v>12.019567</v>
      </c>
      <c r="I206" s="16">
        <f t="shared" si="17"/>
        <v>0</v>
      </c>
      <c r="J206" s="16">
        <f>E206 * F206 * 27.302728</f>
        <v>27.302727999999998</v>
      </c>
      <c r="K206" s="16">
        <f>E206 * F206 * 11.649842</f>
        <v>11.649842</v>
      </c>
      <c r="L206" s="23">
        <f t="shared" ref="L206:L209" si="19">M206/E206/F206</f>
        <v>78.220368000000008</v>
      </c>
      <c r="M206" s="17">
        <f>SUM(G206:K206)</f>
        <v>78.220368000000008</v>
      </c>
    </row>
    <row r="207" spans="1:13" ht="38.25">
      <c r="A207" s="11">
        <v>204</v>
      </c>
      <c r="B207" s="12" t="s">
        <v>501</v>
      </c>
      <c r="C207" s="13" t="s">
        <v>502</v>
      </c>
      <c r="D207" s="13" t="s">
        <v>498</v>
      </c>
      <c r="E207" s="14">
        <v>1</v>
      </c>
      <c r="F207" s="15">
        <v>1</v>
      </c>
      <c r="G207" s="16">
        <f>E207 * F207 * 27.248231</f>
        <v>27.248231000000001</v>
      </c>
      <c r="H207" s="16">
        <f>E207 * F207 * 18.194019</f>
        <v>18.194019000000001</v>
      </c>
      <c r="I207" s="16">
        <f t="shared" si="17"/>
        <v>0</v>
      </c>
      <c r="J207" s="16">
        <f>E207 * F207 * 27.302728</f>
        <v>27.302727999999998</v>
      </c>
      <c r="K207" s="16">
        <f>E207 * F207 * 12.730371</f>
        <v>12.730371</v>
      </c>
      <c r="L207" s="23">
        <f t="shared" si="19"/>
        <v>85.475349000000008</v>
      </c>
      <c r="M207" s="17">
        <f>SUM(G207:K207)</f>
        <v>85.475349000000008</v>
      </c>
    </row>
    <row r="208" spans="1:13" ht="25.5">
      <c r="A208" s="11">
        <v>205</v>
      </c>
      <c r="B208" s="12" t="s">
        <v>503</v>
      </c>
      <c r="C208" s="13" t="s">
        <v>504</v>
      </c>
      <c r="D208" s="13" t="s">
        <v>498</v>
      </c>
      <c r="E208" s="14">
        <v>1</v>
      </c>
      <c r="F208" s="15">
        <v>1</v>
      </c>
      <c r="G208" s="16">
        <f>E208 * F208 * 27.248231</f>
        <v>27.248231000000001</v>
      </c>
      <c r="H208" s="16">
        <f>E208 * F208 * 6.765993</f>
        <v>6.7659929999999999</v>
      </c>
      <c r="I208" s="16">
        <f t="shared" si="17"/>
        <v>0</v>
      </c>
      <c r="J208" s="16">
        <f>E208 * F208 * 27.302728</f>
        <v>27.302727999999998</v>
      </c>
      <c r="K208" s="16">
        <f>E208 * F208 * 10.730466</f>
        <v>10.730466</v>
      </c>
      <c r="L208" s="23">
        <f t="shared" si="19"/>
        <v>72.047417999999993</v>
      </c>
      <c r="M208" s="17">
        <f>SUM(G208:K208)</f>
        <v>72.047417999999993</v>
      </c>
    </row>
    <row r="209" spans="1:13" ht="25.5">
      <c r="A209" s="11">
        <v>206</v>
      </c>
      <c r="B209" s="12" t="s">
        <v>505</v>
      </c>
      <c r="C209" s="13" t="s">
        <v>506</v>
      </c>
      <c r="D209" s="13" t="s">
        <v>507</v>
      </c>
      <c r="E209" s="14">
        <v>1</v>
      </c>
      <c r="F209" s="15">
        <v>1</v>
      </c>
      <c r="G209" s="16">
        <f>E209 * F209 * 2124.506676</f>
        <v>2124.506676</v>
      </c>
      <c r="H209" s="16">
        <f>E209 * F209 * 0</f>
        <v>0</v>
      </c>
      <c r="I209" s="16">
        <f t="shared" si="17"/>
        <v>0</v>
      </c>
      <c r="J209" s="16">
        <f>E209 * F209 * 2128.755689</f>
        <v>2128.7556890000001</v>
      </c>
      <c r="K209" s="16">
        <f>E209 * F209 * 744.320914</f>
        <v>744.32091400000002</v>
      </c>
      <c r="L209" s="23">
        <f t="shared" si="19"/>
        <v>4997.5832790000004</v>
      </c>
      <c r="M209" s="17">
        <f>SUM(G209:K209)</f>
        <v>4997.5832790000004</v>
      </c>
    </row>
    <row r="210" spans="1:13" ht="25.5">
      <c r="A210" s="11">
        <v>207</v>
      </c>
      <c r="B210" s="12" t="s">
        <v>508</v>
      </c>
      <c r="C210" s="13" t="s">
        <v>509</v>
      </c>
      <c r="D210" s="13" t="s">
        <v>374</v>
      </c>
      <c r="E210" s="14">
        <v>1</v>
      </c>
      <c r="F210" s="15">
        <v>1</v>
      </c>
      <c r="G210" s="16">
        <f>E210 * F210 * 19867.014585</f>
        <v>19867.014585000001</v>
      </c>
      <c r="H210" s="16">
        <f>E210 * F210 * 430530.559552</f>
        <v>430530.55955200002</v>
      </c>
      <c r="I210" s="16">
        <f t="shared" si="17"/>
        <v>0</v>
      </c>
      <c r="J210" s="16">
        <f>E210 * F210 * 19906.748615</f>
        <v>19906.748615</v>
      </c>
      <c r="K210" s="16">
        <f>E210 * F210 * 82303.2564809999</f>
        <v>82303.256480999902</v>
      </c>
      <c r="L210" s="23">
        <f t="shared" si="18"/>
        <v>5526.0757923299998</v>
      </c>
      <c r="M210" s="17">
        <f>SUM(G210:K210)</f>
        <v>552607.57923299994</v>
      </c>
    </row>
    <row r="211" spans="1:13" ht="38.25">
      <c r="A211" s="11">
        <v>208</v>
      </c>
      <c r="B211" s="12" t="s">
        <v>510</v>
      </c>
      <c r="C211" s="13" t="s">
        <v>511</v>
      </c>
      <c r="D211" s="13" t="s">
        <v>512</v>
      </c>
      <c r="E211" s="14">
        <v>1</v>
      </c>
      <c r="F211" s="15">
        <v>1</v>
      </c>
      <c r="G211" s="16">
        <f>E211 * F211 * 8894.447646</f>
        <v>8894.4476460000005</v>
      </c>
      <c r="H211" s="16">
        <f>E211 * F211 * 2048.640363</f>
        <v>2048.640363</v>
      </c>
      <c r="I211" s="16">
        <f t="shared" si="17"/>
        <v>0</v>
      </c>
      <c r="J211" s="16">
        <f>E211 * F211 * 8912.236541</f>
        <v>8912.2365410000002</v>
      </c>
      <c r="K211" s="16">
        <f>E211 * F211 * 3474.681796</f>
        <v>3474.6817959999998</v>
      </c>
      <c r="L211" s="23">
        <f t="shared" si="18"/>
        <v>233.30006346000002</v>
      </c>
      <c r="M211" s="17">
        <f>SUM(G211:K211)</f>
        <v>23330.006346000002</v>
      </c>
    </row>
    <row r="212" spans="1:13" ht="38.25">
      <c r="A212" s="11">
        <v>209</v>
      </c>
      <c r="B212" s="12" t="s">
        <v>513</v>
      </c>
      <c r="C212" s="13" t="s">
        <v>514</v>
      </c>
      <c r="D212" s="13" t="s">
        <v>512</v>
      </c>
      <c r="E212" s="14">
        <v>1</v>
      </c>
      <c r="F212" s="15">
        <v>1</v>
      </c>
      <c r="G212" s="16">
        <f>E212 * F212 * 10187.245269</f>
        <v>10187.245268999999</v>
      </c>
      <c r="H212" s="16">
        <f>E212 * F212 * 2788.351198</f>
        <v>2788.3511979999998</v>
      </c>
      <c r="I212" s="16">
        <f t="shared" si="17"/>
        <v>0</v>
      </c>
      <c r="J212" s="16">
        <f>E212 * F212 * 10207.619759</f>
        <v>10207.619758999999</v>
      </c>
      <c r="K212" s="16">
        <f>E212 * F212 * 4057.06283999999</f>
        <v>4057.06283999999</v>
      </c>
      <c r="L212" s="23">
        <f t="shared" si="18"/>
        <v>272.40279065999988</v>
      </c>
      <c r="M212" s="17">
        <f>SUM(G212:K212)</f>
        <v>27240.279065999988</v>
      </c>
    </row>
    <row r="213" spans="1:13" ht="25.5">
      <c r="A213" s="11">
        <v>210</v>
      </c>
      <c r="B213" s="12" t="s">
        <v>515</v>
      </c>
      <c r="C213" s="13" t="s">
        <v>516</v>
      </c>
      <c r="D213" s="13" t="s">
        <v>161</v>
      </c>
      <c r="E213" s="14">
        <v>1</v>
      </c>
      <c r="F213" s="15">
        <v>1</v>
      </c>
      <c r="G213" s="16">
        <f>E213 * F213 * 9610.72209</f>
        <v>9610.7220899999993</v>
      </c>
      <c r="H213" s="16">
        <f>E213 * F213 * 24472.908665</f>
        <v>24472.908664999999</v>
      </c>
      <c r="I213" s="16">
        <f t="shared" ref="I213:I244" si="20">E213 * F213 * 0</f>
        <v>0</v>
      </c>
      <c r="J213" s="16">
        <f>E213 * F213 * 9629.943534</f>
        <v>9629.943534</v>
      </c>
      <c r="K213" s="16">
        <f>E213 * F213 * 7649.87550099999</f>
        <v>7649.8755009999904</v>
      </c>
      <c r="L213" s="23">
        <f t="shared" si="18"/>
        <v>513.63449789999981</v>
      </c>
      <c r="M213" s="17">
        <f>SUM(G213:K213)</f>
        <v>51363.449789999984</v>
      </c>
    </row>
    <row r="214" spans="1:13" ht="25.5">
      <c r="A214" s="11">
        <v>211</v>
      </c>
      <c r="B214" s="12" t="s">
        <v>517</v>
      </c>
      <c r="C214" s="13" t="s">
        <v>518</v>
      </c>
      <c r="D214" s="13" t="s">
        <v>161</v>
      </c>
      <c r="E214" s="14">
        <v>1</v>
      </c>
      <c r="F214" s="15">
        <v>1</v>
      </c>
      <c r="G214" s="16">
        <f>E214 * F214 * 12221.04167</f>
        <v>12221.041670000001</v>
      </c>
      <c r="H214" s="16">
        <f>E214 * F214 * 49658.427203</f>
        <v>49658.427202999999</v>
      </c>
      <c r="I214" s="16">
        <f t="shared" si="20"/>
        <v>0</v>
      </c>
      <c r="J214" s="16">
        <f>E214 * F214 * 12245.483753</f>
        <v>12245.483753</v>
      </c>
      <c r="K214" s="16">
        <f>E214 * F214 * 12971.86671</f>
        <v>12971.86671</v>
      </c>
      <c r="L214" s="23">
        <f t="shared" si="18"/>
        <v>870.96819335999999</v>
      </c>
      <c r="M214" s="17">
        <f>SUM(G214:K214)</f>
        <v>87096.819336</v>
      </c>
    </row>
    <row r="215" spans="1:13" ht="25.5">
      <c r="A215" s="11">
        <v>212</v>
      </c>
      <c r="B215" s="12" t="s">
        <v>519</v>
      </c>
      <c r="C215" s="13" t="s">
        <v>520</v>
      </c>
      <c r="D215" s="13" t="s">
        <v>161</v>
      </c>
      <c r="E215" s="14">
        <v>1</v>
      </c>
      <c r="F215" s="15">
        <v>1</v>
      </c>
      <c r="G215" s="16">
        <f>E215 * F215 * 15780.56837</f>
        <v>15780.568370000001</v>
      </c>
      <c r="H215" s="16">
        <f>E215 * F215 * 135590.838332</f>
        <v>135590.83833200001</v>
      </c>
      <c r="I215" s="16">
        <f t="shared" si="20"/>
        <v>0</v>
      </c>
      <c r="J215" s="16">
        <f>E215 * F215 * 15812.129507</f>
        <v>15812.129507</v>
      </c>
      <c r="K215" s="16">
        <f>E215 * F215 * 29257.1188369999</f>
        <v>29257.1188369999</v>
      </c>
      <c r="L215" s="23">
        <f t="shared" si="18"/>
        <v>1964.4065504599992</v>
      </c>
      <c r="M215" s="17">
        <f>SUM(G215:K215)</f>
        <v>196440.65504599991</v>
      </c>
    </row>
    <row r="216" spans="1:13">
      <c r="A216" s="11">
        <v>213</v>
      </c>
      <c r="B216" s="12" t="s">
        <v>521</v>
      </c>
      <c r="C216" s="13" t="s">
        <v>522</v>
      </c>
      <c r="D216" s="13" t="s">
        <v>161</v>
      </c>
      <c r="E216" s="14">
        <v>1</v>
      </c>
      <c r="F216" s="15">
        <v>1</v>
      </c>
      <c r="G216" s="16">
        <f>E216 * F216 * 36544.47412</f>
        <v>36544.474119999999</v>
      </c>
      <c r="H216" s="16">
        <f>E216 * F216 * 288908.856443</f>
        <v>288908.85644300003</v>
      </c>
      <c r="I216" s="16">
        <f t="shared" si="20"/>
        <v>0</v>
      </c>
      <c r="J216" s="16">
        <f>E216 * F216 * 36617.5630679999</f>
        <v>36617.563067999901</v>
      </c>
      <c r="K216" s="16">
        <f>E216 * F216 * 63362.4063849999</f>
        <v>63362.4063849999</v>
      </c>
      <c r="L216" s="23">
        <f t="shared" si="18"/>
        <v>4254.3330001599988</v>
      </c>
      <c r="M216" s="17">
        <f>SUM(G216:K216)</f>
        <v>425433.30001599988</v>
      </c>
    </row>
    <row r="217" spans="1:13">
      <c r="A217" s="11">
        <v>214</v>
      </c>
      <c r="B217" s="12" t="s">
        <v>523</v>
      </c>
      <c r="C217" s="13" t="s">
        <v>524</v>
      </c>
      <c r="D217" s="13" t="s">
        <v>161</v>
      </c>
      <c r="E217" s="14">
        <v>1</v>
      </c>
      <c r="F217" s="15">
        <v>1</v>
      </c>
      <c r="G217" s="16">
        <f>E217 * F217 * 50070.67558</f>
        <v>50070.675580000003</v>
      </c>
      <c r="H217" s="16">
        <f>E217 * F217 * 672857.636735</f>
        <v>672857.63673499995</v>
      </c>
      <c r="I217" s="16">
        <f t="shared" si="20"/>
        <v>0</v>
      </c>
      <c r="J217" s="16">
        <f>E217 * F217 * 50170.816931</f>
        <v>50170.816931000001</v>
      </c>
      <c r="K217" s="16">
        <f>E217 * F217 * 135292.347618</f>
        <v>135292.347618</v>
      </c>
      <c r="L217" s="23">
        <f t="shared" si="18"/>
        <v>9083.9147686399992</v>
      </c>
      <c r="M217" s="17">
        <f>SUM(G217:K217)</f>
        <v>908391.47686399997</v>
      </c>
    </row>
    <row r="218" spans="1:13">
      <c r="A218" s="11">
        <v>215</v>
      </c>
      <c r="B218" s="12" t="s">
        <v>525</v>
      </c>
      <c r="C218" s="13" t="s">
        <v>526</v>
      </c>
      <c r="D218" s="13" t="s">
        <v>161</v>
      </c>
      <c r="E218" s="14">
        <v>1</v>
      </c>
      <c r="F218" s="15">
        <v>1</v>
      </c>
      <c r="G218" s="16">
        <f>E218 * F218 * 65139.33861</f>
        <v>65139.338609999999</v>
      </c>
      <c r="H218" s="16">
        <f>E218 * F218 * 1403926.821911</f>
        <v>1403926.8219109999</v>
      </c>
      <c r="I218" s="16">
        <f t="shared" si="20"/>
        <v>0</v>
      </c>
      <c r="J218" s="16">
        <f>E218 * F218 * 65269.617287</f>
        <v>65269.617287000001</v>
      </c>
      <c r="K218" s="16">
        <f>E218 * F218 * 268508.761117</f>
        <v>268508.76111700002</v>
      </c>
      <c r="L218" s="23">
        <f t="shared" si="18"/>
        <v>18028.445389249999</v>
      </c>
      <c r="M218" s="17">
        <f>SUM(G218:K218)</f>
        <v>1802844.538925</v>
      </c>
    </row>
    <row r="219" spans="1:13">
      <c r="A219" s="11">
        <v>216</v>
      </c>
      <c r="B219" s="12" t="s">
        <v>527</v>
      </c>
      <c r="C219" s="13" t="s">
        <v>528</v>
      </c>
      <c r="D219" s="13" t="s">
        <v>421</v>
      </c>
      <c r="E219" s="14">
        <v>1</v>
      </c>
      <c r="F219" s="15">
        <v>1</v>
      </c>
      <c r="G219" s="16">
        <f>E219 * F219 * 1301.9</f>
        <v>1301.9000000000001</v>
      </c>
      <c r="H219" s="16">
        <f>E219 * F219 * 1004144.50589</f>
        <v>1004144.50589</v>
      </c>
      <c r="I219" s="16">
        <f t="shared" si="20"/>
        <v>0</v>
      </c>
      <c r="J219" s="16">
        <f>E219 * F219 * 1304.5038</f>
        <v>1304.5038</v>
      </c>
      <c r="K219" s="16">
        <f>E219 * F219 * 176181.409196</f>
        <v>176181.40919599999</v>
      </c>
      <c r="L219" s="23">
        <f t="shared" si="18"/>
        <v>11829.32318886</v>
      </c>
      <c r="M219" s="17">
        <f>SUM(G219:K219)</f>
        <v>1182932.318886</v>
      </c>
    </row>
    <row r="220" spans="1:13" ht="38.25">
      <c r="A220" s="11">
        <v>217</v>
      </c>
      <c r="B220" s="12" t="s">
        <v>529</v>
      </c>
      <c r="C220" s="13" t="s">
        <v>530</v>
      </c>
      <c r="D220" s="13" t="s">
        <v>452</v>
      </c>
      <c r="E220" s="14">
        <v>1</v>
      </c>
      <c r="F220" s="15">
        <v>1</v>
      </c>
      <c r="G220" s="16">
        <f>E220 * F220 * 14077.887648</f>
        <v>14077.887648</v>
      </c>
      <c r="H220" s="16">
        <f>E220 * F220 * 29658.389944</f>
        <v>29658.389943999999</v>
      </c>
      <c r="I220" s="16">
        <f t="shared" si="20"/>
        <v>0</v>
      </c>
      <c r="J220" s="16">
        <f>E220 * F220 * 14106.043424</f>
        <v>14106.043424</v>
      </c>
      <c r="K220" s="16">
        <f>E220 * F220 * 10122.406178</f>
        <v>10122.406177999999</v>
      </c>
      <c r="L220" s="23">
        <f t="shared" si="18"/>
        <v>679.64727194000011</v>
      </c>
      <c r="M220" s="17">
        <f>SUM(G220:K220)</f>
        <v>67964.727194000006</v>
      </c>
    </row>
    <row r="221" spans="1:13" ht="38.25">
      <c r="A221" s="11">
        <v>218</v>
      </c>
      <c r="B221" s="12" t="s">
        <v>531</v>
      </c>
      <c r="C221" s="13" t="s">
        <v>532</v>
      </c>
      <c r="D221" s="13" t="s">
        <v>452</v>
      </c>
      <c r="E221" s="14">
        <v>1</v>
      </c>
      <c r="F221" s="15">
        <v>1</v>
      </c>
      <c r="G221" s="16">
        <f>E221 * F221 * 14921.596668</f>
        <v>14921.596668</v>
      </c>
      <c r="H221" s="16">
        <f>E221 * F221 * 51104.139107</f>
        <v>51104.139107000003</v>
      </c>
      <c r="I221" s="16">
        <f t="shared" si="20"/>
        <v>0</v>
      </c>
      <c r="J221" s="16">
        <f>E221 * F221 * 14951.439862</f>
        <v>14951.439861999999</v>
      </c>
      <c r="K221" s="16">
        <f>E221 * F221 * 14171.005737</f>
        <v>14171.005736999999</v>
      </c>
      <c r="L221" s="23">
        <f t="shared" si="18"/>
        <v>951.48181374000012</v>
      </c>
      <c r="M221" s="17">
        <f>SUM(G221:K221)</f>
        <v>95148.181374000007</v>
      </c>
    </row>
    <row r="222" spans="1:13" ht="38.25">
      <c r="A222" s="11">
        <v>219</v>
      </c>
      <c r="B222" s="12" t="s">
        <v>533</v>
      </c>
      <c r="C222" s="13" t="s">
        <v>534</v>
      </c>
      <c r="D222" s="13" t="s">
        <v>452</v>
      </c>
      <c r="E222" s="14">
        <v>1</v>
      </c>
      <c r="F222" s="15">
        <v>1</v>
      </c>
      <c r="G222" s="16">
        <f>E222 * F222 * 14077.887648</f>
        <v>14077.887648</v>
      </c>
      <c r="H222" s="16">
        <f>E222 * F222 * 29658.389944</f>
        <v>29658.389943999999</v>
      </c>
      <c r="I222" s="16">
        <f t="shared" si="20"/>
        <v>0</v>
      </c>
      <c r="J222" s="16">
        <f>E222 * F222 * 14106.043424</f>
        <v>14106.043424</v>
      </c>
      <c r="K222" s="16">
        <f>E222 * F222 * 10122.406178</f>
        <v>10122.406177999999</v>
      </c>
      <c r="L222" s="23">
        <f t="shared" si="18"/>
        <v>679.64727194000011</v>
      </c>
      <c r="M222" s="17">
        <f>SUM(G222:K222)</f>
        <v>67964.727194000006</v>
      </c>
    </row>
    <row r="223" spans="1:13" ht="38.25">
      <c r="A223" s="11">
        <v>220</v>
      </c>
      <c r="B223" s="12" t="s">
        <v>535</v>
      </c>
      <c r="C223" s="13" t="s">
        <v>536</v>
      </c>
      <c r="D223" s="13" t="s">
        <v>452</v>
      </c>
      <c r="E223" s="14">
        <v>1</v>
      </c>
      <c r="F223" s="15">
        <v>1</v>
      </c>
      <c r="G223" s="16">
        <f>E223 * F223 * 14921.596668</f>
        <v>14921.596668</v>
      </c>
      <c r="H223" s="16">
        <f>E223 * F223 * 51104.139107</f>
        <v>51104.139107000003</v>
      </c>
      <c r="I223" s="16">
        <f t="shared" si="20"/>
        <v>0</v>
      </c>
      <c r="J223" s="16">
        <f>E223 * F223 * 14951.439862</f>
        <v>14951.439861999999</v>
      </c>
      <c r="K223" s="16">
        <f>E223 * F223 * 14171.005737</f>
        <v>14171.005736999999</v>
      </c>
      <c r="L223" s="23">
        <f t="shared" si="18"/>
        <v>951.48181374000012</v>
      </c>
      <c r="M223" s="17">
        <f>SUM(G223:K223)</f>
        <v>95148.181374000007</v>
      </c>
    </row>
    <row r="224" spans="1:13" ht="38.25">
      <c r="A224" s="11">
        <v>221</v>
      </c>
      <c r="B224" s="12" t="s">
        <v>537</v>
      </c>
      <c r="C224" s="13" t="s">
        <v>538</v>
      </c>
      <c r="D224" s="13" t="s">
        <v>452</v>
      </c>
      <c r="E224" s="14">
        <v>1</v>
      </c>
      <c r="F224" s="15">
        <v>1</v>
      </c>
      <c r="G224" s="16">
        <f>E224 * F224 * 14890.548742</f>
        <v>14890.548742000001</v>
      </c>
      <c r="H224" s="16">
        <f>E224 * F224 * 153544.566413</f>
        <v>153544.56641299999</v>
      </c>
      <c r="I224" s="16">
        <f t="shared" si="20"/>
        <v>0</v>
      </c>
      <c r="J224" s="16">
        <f>E224 * F224 * 14920.329839</f>
        <v>14920.329839</v>
      </c>
      <c r="K224" s="16">
        <f>E224 * F224 * 32087.202874</f>
        <v>32087.202873999999</v>
      </c>
      <c r="L224" s="23">
        <f t="shared" si="18"/>
        <v>2154.4264786800004</v>
      </c>
      <c r="M224" s="17">
        <f>SUM(G224:K224)</f>
        <v>215442.64786800003</v>
      </c>
    </row>
    <row r="225" spans="1:13" ht="38.25">
      <c r="A225" s="11">
        <v>222</v>
      </c>
      <c r="B225" s="12" t="s">
        <v>539</v>
      </c>
      <c r="C225" s="13" t="s">
        <v>540</v>
      </c>
      <c r="D225" s="13" t="s">
        <v>452</v>
      </c>
      <c r="E225" s="14">
        <v>1</v>
      </c>
      <c r="F225" s="15">
        <v>1</v>
      </c>
      <c r="G225" s="16">
        <f>E225 * F225 * 53225.986176</f>
        <v>53225.986175999999</v>
      </c>
      <c r="H225" s="16">
        <f>E225 * F225 * 181832.504425</f>
        <v>181832.50442499999</v>
      </c>
      <c r="I225" s="16">
        <f t="shared" si="20"/>
        <v>0</v>
      </c>
      <c r="J225" s="16">
        <f>E225 * F225 * 53332.438148</f>
        <v>53332.438148000001</v>
      </c>
      <c r="K225" s="16">
        <f>E225 * F225 * 50468.4125309999</f>
        <v>50468.4125309999</v>
      </c>
      <c r="L225" s="23">
        <f t="shared" si="18"/>
        <v>3388.5934127999994</v>
      </c>
      <c r="M225" s="17">
        <f>SUM(G225:K225)</f>
        <v>338859.34127999994</v>
      </c>
    </row>
    <row r="226" spans="1:13" ht="38.25">
      <c r="A226" s="11">
        <v>223</v>
      </c>
      <c r="B226" s="12" t="s">
        <v>541</v>
      </c>
      <c r="C226" s="13" t="s">
        <v>542</v>
      </c>
      <c r="D226" s="13" t="s">
        <v>452</v>
      </c>
      <c r="E226" s="14">
        <v>1</v>
      </c>
      <c r="F226" s="15">
        <v>1</v>
      </c>
      <c r="G226" s="16">
        <f>E226 * F226 * 56287.44462</f>
        <v>56287.444620000002</v>
      </c>
      <c r="H226" s="16">
        <f>E226 * F226 * 272253.736437</f>
        <v>272253.73643699999</v>
      </c>
      <c r="I226" s="16">
        <f t="shared" si="20"/>
        <v>0</v>
      </c>
      <c r="J226" s="16">
        <f>E226 * F226 * 56400.019509</f>
        <v>56400.019508999998</v>
      </c>
      <c r="K226" s="16">
        <f>E226 * F226 * 67364.710099</f>
        <v>67364.710099000004</v>
      </c>
      <c r="L226" s="23">
        <f t="shared" si="18"/>
        <v>4523.0591066500001</v>
      </c>
      <c r="M226" s="17">
        <f>SUM(G226:K226)</f>
        <v>452305.91066500003</v>
      </c>
    </row>
    <row r="227" spans="1:13" ht="38.25">
      <c r="A227" s="11">
        <v>224</v>
      </c>
      <c r="B227" s="12" t="s">
        <v>543</v>
      </c>
      <c r="C227" s="13" t="s">
        <v>544</v>
      </c>
      <c r="D227" s="13" t="s">
        <v>452</v>
      </c>
      <c r="E227" s="14">
        <v>1</v>
      </c>
      <c r="F227" s="15">
        <v>1</v>
      </c>
      <c r="G227" s="16">
        <f>E227 * F227 * 81213.019668</f>
        <v>81213.019667999994</v>
      </c>
      <c r="H227" s="16">
        <f>E227 * F227 * 422159.456022</f>
        <v>422159.456022</v>
      </c>
      <c r="I227" s="16">
        <f t="shared" si="20"/>
        <v>0</v>
      </c>
      <c r="J227" s="16">
        <f>E227 * F227 * 81375.445708</f>
        <v>81375.445707999999</v>
      </c>
      <c r="K227" s="16">
        <f>E227 * F227 * 102330.886245</f>
        <v>102330.886245</v>
      </c>
      <c r="L227" s="23">
        <f t="shared" si="18"/>
        <v>6870.7880764300007</v>
      </c>
      <c r="M227" s="17">
        <f>SUM(G227:K227)</f>
        <v>687078.80764300004</v>
      </c>
    </row>
    <row r="228" spans="1:13" ht="25.5">
      <c r="A228" s="11">
        <v>225</v>
      </c>
      <c r="B228" s="12" t="s">
        <v>545</v>
      </c>
      <c r="C228" s="13" t="s">
        <v>546</v>
      </c>
      <c r="D228" s="13" t="s">
        <v>547</v>
      </c>
      <c r="E228" s="14">
        <v>1</v>
      </c>
      <c r="F228" s="15">
        <v>1</v>
      </c>
      <c r="G228" s="16">
        <f>E228 * F228 * 9641.68188</f>
        <v>9641.6818800000001</v>
      </c>
      <c r="H228" s="16">
        <f>E228 * F228 * 2289.48948</f>
        <v>2289.4894800000002</v>
      </c>
      <c r="I228" s="16">
        <f t="shared" si="20"/>
        <v>0</v>
      </c>
      <c r="J228" s="16">
        <f>E228 * F228 * 9660.965244</f>
        <v>9660.9652440000009</v>
      </c>
      <c r="K228" s="16">
        <f>E228 * F228 * 3778.623905</f>
        <v>3778.6239049999999</v>
      </c>
      <c r="L228" s="23">
        <f t="shared" si="18"/>
        <v>253.70760508999999</v>
      </c>
      <c r="M228" s="17">
        <f>SUM(G228:K228)</f>
        <v>25370.760509</v>
      </c>
    </row>
    <row r="229" spans="1:13" ht="25.5">
      <c r="A229" s="11">
        <v>226</v>
      </c>
      <c r="B229" s="12" t="s">
        <v>548</v>
      </c>
      <c r="C229" s="13" t="s">
        <v>549</v>
      </c>
      <c r="D229" s="13" t="s">
        <v>547</v>
      </c>
      <c r="E229" s="14">
        <v>1</v>
      </c>
      <c r="F229" s="15">
        <v>1</v>
      </c>
      <c r="G229" s="16">
        <f>E229 * F229 * 10899.29256</f>
        <v>10899.29256</v>
      </c>
      <c r="H229" s="16">
        <f>E229 * F229 * 2590.79611</f>
        <v>2590.7961100000002</v>
      </c>
      <c r="I229" s="16">
        <f t="shared" si="20"/>
        <v>0</v>
      </c>
      <c r="J229" s="16">
        <f>E229 * F229 * 10921.091145</f>
        <v>10921.091145</v>
      </c>
      <c r="K229" s="16">
        <f>E229 * F229 * 4271.956468</f>
        <v>4271.9564680000003</v>
      </c>
      <c r="L229" s="23">
        <f t="shared" si="18"/>
        <v>286.83136283000005</v>
      </c>
      <c r="M229" s="17">
        <f>SUM(G229:K229)</f>
        <v>28683.136283000003</v>
      </c>
    </row>
    <row r="230" spans="1:13" ht="25.5">
      <c r="A230" s="11">
        <v>227</v>
      </c>
      <c r="B230" s="12" t="s">
        <v>550</v>
      </c>
      <c r="C230" s="13" t="s">
        <v>551</v>
      </c>
      <c r="D230" s="13" t="s">
        <v>547</v>
      </c>
      <c r="E230" s="14">
        <v>1</v>
      </c>
      <c r="F230" s="15">
        <v>1</v>
      </c>
      <c r="G230" s="16">
        <f>E230 * F230 * 12156.90324</f>
        <v>12156.90324</v>
      </c>
      <c r="H230" s="16">
        <f>E230 * F230 * 4120.798427</f>
        <v>4120.7984269999997</v>
      </c>
      <c r="I230" s="16">
        <f t="shared" si="20"/>
        <v>0</v>
      </c>
      <c r="J230" s="16">
        <f>E230 * F230 * 12181.217046</f>
        <v>12181.217046</v>
      </c>
      <c r="K230" s="16">
        <f>E230 * F230 * 4980.310775</f>
        <v>4980.3107749999999</v>
      </c>
      <c r="L230" s="23">
        <f t="shared" si="18"/>
        <v>334.39229487999995</v>
      </c>
      <c r="M230" s="17">
        <f>SUM(G230:K230)</f>
        <v>33439.229487999997</v>
      </c>
    </row>
    <row r="231" spans="1:13" ht="25.5">
      <c r="A231" s="11">
        <v>228</v>
      </c>
      <c r="B231" s="12" t="s">
        <v>552</v>
      </c>
      <c r="C231" s="13" t="s">
        <v>553</v>
      </c>
      <c r="D231" s="13" t="s">
        <v>547</v>
      </c>
      <c r="E231" s="14">
        <v>1</v>
      </c>
      <c r="F231" s="15">
        <v>1</v>
      </c>
      <c r="G231" s="16">
        <f>E231 * F231 * 13414.51392</f>
        <v>13414.513919999999</v>
      </c>
      <c r="H231" s="16">
        <f>E231 * F231 * 4545.536468</f>
        <v>4545.5364680000002</v>
      </c>
      <c r="I231" s="16">
        <f t="shared" si="20"/>
        <v>0</v>
      </c>
      <c r="J231" s="16">
        <f>E231 * F231 * 13441.342948</f>
        <v>13441.342948</v>
      </c>
      <c r="K231" s="16">
        <f>E231 * F231 * 5495.243834</f>
        <v>5495.2438339999999</v>
      </c>
      <c r="L231" s="23">
        <f t="shared" si="18"/>
        <v>368.96637170000002</v>
      </c>
      <c r="M231" s="17">
        <f>SUM(G231:K231)</f>
        <v>36896.637170000002</v>
      </c>
    </row>
    <row r="232" spans="1:13" ht="25.5">
      <c r="A232" s="11">
        <v>229</v>
      </c>
      <c r="B232" s="12" t="s">
        <v>554</v>
      </c>
      <c r="C232" s="13" t="s">
        <v>555</v>
      </c>
      <c r="D232" s="13" t="s">
        <v>154</v>
      </c>
      <c r="E232" s="14">
        <v>1</v>
      </c>
      <c r="F232" s="15">
        <v>1</v>
      </c>
      <c r="G232" s="16">
        <f>E232 * F232 * 2116.977978</f>
        <v>2116.9779779999999</v>
      </c>
      <c r="H232" s="16">
        <f>E232 * F232 * 877.787123</f>
        <v>877.78712299999995</v>
      </c>
      <c r="I232" s="16">
        <f t="shared" si="20"/>
        <v>0</v>
      </c>
      <c r="J232" s="16">
        <f>E232 * F232 * 2121.211934</f>
        <v>2121.2119339999999</v>
      </c>
      <c r="K232" s="16">
        <f>E232 * F232 * 895.295981</f>
        <v>895.29598099999998</v>
      </c>
      <c r="L232" s="23">
        <f t="shared" si="18"/>
        <v>60.112730159999998</v>
      </c>
      <c r="M232" s="17">
        <f>SUM(G232:K232)</f>
        <v>6011.2730160000001</v>
      </c>
    </row>
    <row r="233" spans="1:13" ht="25.5">
      <c r="A233" s="11">
        <v>230</v>
      </c>
      <c r="B233" s="12" t="s">
        <v>556</v>
      </c>
      <c r="C233" s="13" t="s">
        <v>557</v>
      </c>
      <c r="D233" s="13" t="s">
        <v>558</v>
      </c>
      <c r="E233" s="14">
        <v>1</v>
      </c>
      <c r="F233" s="15">
        <v>1</v>
      </c>
      <c r="G233" s="16">
        <f>E233 * F233 * 6497.65518</f>
        <v>6497.6551799999997</v>
      </c>
      <c r="H233" s="16">
        <f>E233 * F233 * 154757.169864</f>
        <v>154757.169864</v>
      </c>
      <c r="I233" s="16">
        <f t="shared" si="20"/>
        <v>0</v>
      </c>
      <c r="J233" s="16">
        <f>E233 * F233 * 6510.65049</f>
        <v>6510.65049</v>
      </c>
      <c r="K233" s="16">
        <f>E233 * F233 * 29358.958218</f>
        <v>29358.958218</v>
      </c>
      <c r="L233" s="23">
        <f t="shared" si="18"/>
        <v>1971.2443375199998</v>
      </c>
      <c r="M233" s="17">
        <f>SUM(G233:K233)</f>
        <v>197124.43375199998</v>
      </c>
    </row>
    <row r="234" spans="1:13">
      <c r="A234" s="11">
        <v>231</v>
      </c>
      <c r="B234" s="12" t="s">
        <v>559</v>
      </c>
      <c r="C234" s="13" t="s">
        <v>560</v>
      </c>
      <c r="D234" s="13" t="s">
        <v>561</v>
      </c>
      <c r="E234" s="14">
        <v>1</v>
      </c>
      <c r="F234" s="15">
        <v>1</v>
      </c>
      <c r="G234" s="16">
        <f>E234 * F234 * 14672.1246</f>
        <v>14672.124599999999</v>
      </c>
      <c r="H234" s="16">
        <f>E234 * F234 * 180870.515038</f>
        <v>180870.51503800001</v>
      </c>
      <c r="I234" s="16">
        <f t="shared" si="20"/>
        <v>0</v>
      </c>
      <c r="J234" s="16">
        <f>E234 * F234 * 14701.468849</f>
        <v>14701.468849000001</v>
      </c>
      <c r="K234" s="16">
        <f>E234 * F234 * 36792.718986</f>
        <v>36792.718986</v>
      </c>
      <c r="L234" s="23">
        <f t="shared" si="18"/>
        <v>2470.3682747299999</v>
      </c>
      <c r="M234" s="17">
        <f>SUM(G234:K234)</f>
        <v>247036.82747300001</v>
      </c>
    </row>
    <row r="235" spans="1:13">
      <c r="A235" s="11">
        <v>232</v>
      </c>
      <c r="B235" s="12" t="s">
        <v>562</v>
      </c>
      <c r="C235" s="13" t="s">
        <v>563</v>
      </c>
      <c r="D235" s="13" t="s">
        <v>561</v>
      </c>
      <c r="E235" s="14">
        <v>1</v>
      </c>
      <c r="F235" s="15">
        <v>1</v>
      </c>
      <c r="G235" s="16">
        <f>E235 * F235 * 18864.1602</f>
        <v>18864.160199999998</v>
      </c>
      <c r="H235" s="16">
        <f>E235 * F235 * 260985.671038</f>
        <v>260985.671038</v>
      </c>
      <c r="I235" s="16">
        <f t="shared" si="20"/>
        <v>0</v>
      </c>
      <c r="J235" s="16">
        <f>E235 * F235 * 18901.88852</f>
        <v>18901.88852</v>
      </c>
      <c r="K235" s="16">
        <f>E235 * F235 * 52281.550958</f>
        <v>52281.550958</v>
      </c>
      <c r="L235" s="23">
        <f t="shared" si="18"/>
        <v>3510.3327071600002</v>
      </c>
      <c r="M235" s="17">
        <f>SUM(G235:K235)</f>
        <v>351033.270716</v>
      </c>
    </row>
    <row r="236" spans="1:13" ht="25.5">
      <c r="A236" s="11">
        <v>233</v>
      </c>
      <c r="B236" s="12" t="s">
        <v>564</v>
      </c>
      <c r="C236" s="13" t="s">
        <v>565</v>
      </c>
      <c r="D236" s="13" t="s">
        <v>566</v>
      </c>
      <c r="E236" s="14">
        <v>1</v>
      </c>
      <c r="F236" s="15">
        <v>1</v>
      </c>
      <c r="G236" s="16">
        <f>E236 * F236 * 11108.89434</f>
        <v>11108.894340000001</v>
      </c>
      <c r="H236" s="16">
        <f>E236 * F236 * 4348.593196</f>
        <v>4348.5931959999998</v>
      </c>
      <c r="I236" s="16">
        <f t="shared" si="20"/>
        <v>0</v>
      </c>
      <c r="J236" s="16">
        <f>E236 * F236 * 11131.112129</f>
        <v>11131.112128999999</v>
      </c>
      <c r="K236" s="16">
        <f>E236 * F236 * 4653.004941</f>
        <v>4653.0049410000001</v>
      </c>
      <c r="L236" s="23">
        <f t="shared" si="18"/>
        <v>312.41604605999999</v>
      </c>
      <c r="M236" s="17">
        <f>SUM(G236:K236)</f>
        <v>31241.604606000001</v>
      </c>
    </row>
    <row r="237" spans="1:13" ht="38.25">
      <c r="A237" s="11">
        <v>234</v>
      </c>
      <c r="B237" s="12" t="s">
        <v>567</v>
      </c>
      <c r="C237" s="13" t="s">
        <v>568</v>
      </c>
      <c r="D237" s="13" t="s">
        <v>569</v>
      </c>
      <c r="E237" s="14">
        <v>1</v>
      </c>
      <c r="F237" s="15">
        <v>1</v>
      </c>
      <c r="G237" s="16">
        <f>E237 * F237 * 69.168587</f>
        <v>69.168587000000002</v>
      </c>
      <c r="H237" s="16">
        <f>E237 * F237 * 0</f>
        <v>0</v>
      </c>
      <c r="I237" s="16">
        <f t="shared" si="20"/>
        <v>0</v>
      </c>
      <c r="J237" s="16">
        <f>E237 * F237 * 69.306924</f>
        <v>69.306923999999995</v>
      </c>
      <c r="K237" s="16">
        <f>E237 * F237 * 24.2332139999999</f>
        <v>24.233213999999901</v>
      </c>
      <c r="L237" s="23">
        <f>M237/E237/F237</f>
        <v>162.70872499999987</v>
      </c>
      <c r="M237" s="17">
        <f>SUM(G237:K237)</f>
        <v>162.70872499999987</v>
      </c>
    </row>
    <row r="238" spans="1:13" ht="38.25">
      <c r="A238" s="11">
        <v>235</v>
      </c>
      <c r="B238" s="12" t="s">
        <v>570</v>
      </c>
      <c r="C238" s="13" t="s">
        <v>571</v>
      </c>
      <c r="D238" s="13" t="s">
        <v>569</v>
      </c>
      <c r="E238" s="14">
        <v>1</v>
      </c>
      <c r="F238" s="15">
        <v>1</v>
      </c>
      <c r="G238" s="16">
        <f>E238 * F238 * 90.128765</f>
        <v>90.128765000000001</v>
      </c>
      <c r="H238" s="16">
        <f>E238 * F238 * 0</f>
        <v>0</v>
      </c>
      <c r="I238" s="16">
        <f t="shared" si="20"/>
        <v>0</v>
      </c>
      <c r="J238" s="16">
        <f>E238 * F238 * 90.309023</f>
        <v>90.309022999999996</v>
      </c>
      <c r="K238" s="16">
        <f>E238 * F238 * 31.576613</f>
        <v>31.576612999999998</v>
      </c>
      <c r="L238" s="23">
        <f t="shared" ref="L238:L239" si="21">M238/E238/F238</f>
        <v>212.01440100000002</v>
      </c>
      <c r="M238" s="17">
        <f>SUM(G238:K238)</f>
        <v>212.01440100000002</v>
      </c>
    </row>
    <row r="239" spans="1:13" ht="38.25">
      <c r="A239" s="11">
        <v>236</v>
      </c>
      <c r="B239" s="12" t="s">
        <v>572</v>
      </c>
      <c r="C239" s="13" t="s">
        <v>573</v>
      </c>
      <c r="D239" s="13" t="s">
        <v>569</v>
      </c>
      <c r="E239" s="14">
        <v>1</v>
      </c>
      <c r="F239" s="15">
        <v>1</v>
      </c>
      <c r="G239" s="16">
        <f>E239 * F239 * 108.992926</f>
        <v>108.992926</v>
      </c>
      <c r="H239" s="16">
        <f>E239 * F239 * 0</f>
        <v>0</v>
      </c>
      <c r="I239" s="16">
        <f t="shared" si="20"/>
        <v>0</v>
      </c>
      <c r="J239" s="16">
        <f>E239 * F239 * 109.210912</f>
        <v>109.21091199999999</v>
      </c>
      <c r="K239" s="16">
        <f>E239 * F239 * 38.185672</f>
        <v>38.185671999999997</v>
      </c>
      <c r="L239" s="23">
        <f t="shared" si="21"/>
        <v>256.38950999999997</v>
      </c>
      <c r="M239" s="17">
        <f>SUM(G239:K239)</f>
        <v>256.38950999999997</v>
      </c>
    </row>
    <row r="240" spans="1:13" ht="25.5">
      <c r="A240" s="11">
        <v>237</v>
      </c>
      <c r="B240" s="12" t="s">
        <v>574</v>
      </c>
      <c r="C240" s="13" t="s">
        <v>575</v>
      </c>
      <c r="D240" s="13" t="s">
        <v>512</v>
      </c>
      <c r="E240" s="14">
        <v>1</v>
      </c>
      <c r="F240" s="15">
        <v>1</v>
      </c>
      <c r="G240" s="16">
        <f>E240 * F240 * 12480.469361</f>
        <v>12480.469360999999</v>
      </c>
      <c r="H240" s="16">
        <f>E240 * F240 * 2932.137953</f>
        <v>2932.1379529999999</v>
      </c>
      <c r="I240" s="16">
        <f t="shared" si="20"/>
        <v>0</v>
      </c>
      <c r="J240" s="16">
        <f>E240 * F240 * 12505.4303</f>
        <v>12505.4303</v>
      </c>
      <c r="K240" s="16">
        <f>E240 * F240 * 4885.656582</f>
        <v>4885.6565819999996</v>
      </c>
      <c r="L240" s="23">
        <f t="shared" si="18"/>
        <v>328.03694195999998</v>
      </c>
      <c r="M240" s="17">
        <f>SUM(G240:K240)</f>
        <v>32803.694195999997</v>
      </c>
    </row>
    <row r="241" spans="1:13" ht="25.5">
      <c r="A241" s="11">
        <v>238</v>
      </c>
      <c r="B241" s="12" t="s">
        <v>576</v>
      </c>
      <c r="C241" s="13" t="s">
        <v>577</v>
      </c>
      <c r="D241" s="13" t="s">
        <v>512</v>
      </c>
      <c r="E241" s="14">
        <v>1</v>
      </c>
      <c r="F241" s="15">
        <v>1</v>
      </c>
      <c r="G241" s="16">
        <f>E241 * F241 * 16030.690525</f>
        <v>16030.690525</v>
      </c>
      <c r="H241" s="16">
        <f>E241 * F241 * 4776.220775</f>
        <v>4776.2207749999998</v>
      </c>
      <c r="I241" s="16">
        <f t="shared" si="20"/>
        <v>0</v>
      </c>
      <c r="J241" s="16">
        <f>E241 * F241 * 16062.7519069999</f>
        <v>16062.7519069999</v>
      </c>
      <c r="K241" s="16">
        <f>E241 * F241 * 6452.19106099999</f>
        <v>6452.1910609999904</v>
      </c>
      <c r="L241" s="23">
        <f t="shared" si="18"/>
        <v>433.21854267999896</v>
      </c>
      <c r="M241" s="17">
        <f>SUM(G241:K241)</f>
        <v>43321.854267999894</v>
      </c>
    </row>
    <row r="242" spans="1:13" ht="25.5">
      <c r="A242" s="11">
        <v>239</v>
      </c>
      <c r="B242" s="12" t="s">
        <v>578</v>
      </c>
      <c r="C242" s="13" t="s">
        <v>579</v>
      </c>
      <c r="D242" s="13" t="s">
        <v>512</v>
      </c>
      <c r="E242" s="14">
        <v>1</v>
      </c>
      <c r="F242" s="15">
        <v>1</v>
      </c>
      <c r="G242" s="16">
        <f>E242 * F242 * 16944.483594</f>
        <v>16944.483594000001</v>
      </c>
      <c r="H242" s="16">
        <f>E242 * F242 * 3299.02369</f>
        <v>3299.02369</v>
      </c>
      <c r="I242" s="16">
        <f t="shared" si="20"/>
        <v>0</v>
      </c>
      <c r="J242" s="16">
        <f>E242 * F242 * 16978.372561</f>
        <v>16978.372561</v>
      </c>
      <c r="K242" s="16">
        <f>E242 * F242 * 6513.828973</f>
        <v>6513.8289729999997</v>
      </c>
      <c r="L242" s="23">
        <f t="shared" si="18"/>
        <v>437.35708818000001</v>
      </c>
      <c r="M242" s="17">
        <f>SUM(G242:K242)</f>
        <v>43735.708817999999</v>
      </c>
    </row>
    <row r="243" spans="1:13" ht="25.5">
      <c r="A243" s="11">
        <v>240</v>
      </c>
      <c r="B243" s="12" t="s">
        <v>580</v>
      </c>
      <c r="C243" s="13" t="s">
        <v>581</v>
      </c>
      <c r="D243" s="13" t="s">
        <v>512</v>
      </c>
      <c r="E243" s="14">
        <v>1</v>
      </c>
      <c r="F243" s="15">
        <v>1</v>
      </c>
      <c r="G243" s="16">
        <f>E243 * F243 * 20704.739527</f>
        <v>20704.739527000002</v>
      </c>
      <c r="H243" s="16">
        <f>E243 * F243 * 5133.452375</f>
        <v>5133.4523749999998</v>
      </c>
      <c r="I243" s="16">
        <f t="shared" si="20"/>
        <v>0</v>
      </c>
      <c r="J243" s="16">
        <f>E243 * F243 * 20746.149006</f>
        <v>20746.149006</v>
      </c>
      <c r="K243" s="16">
        <f>E243 * F243 * 8152.259659</f>
        <v>8152.2596590000003</v>
      </c>
      <c r="L243" s="23">
        <f t="shared" si="18"/>
        <v>547.36600567000005</v>
      </c>
      <c r="M243" s="17">
        <f>SUM(G243:K243)</f>
        <v>54736.600567000001</v>
      </c>
    </row>
    <row r="244" spans="1:13" ht="25.5">
      <c r="A244" s="11">
        <v>241</v>
      </c>
      <c r="B244" s="12" t="s">
        <v>582</v>
      </c>
      <c r="C244" s="13" t="s">
        <v>583</v>
      </c>
      <c r="D244" s="13" t="s">
        <v>584</v>
      </c>
      <c r="E244" s="14">
        <v>1</v>
      </c>
      <c r="F244" s="15">
        <v>1</v>
      </c>
      <c r="G244" s="16">
        <f>E244 * F244 * 92.224783</f>
        <v>92.224783000000002</v>
      </c>
      <c r="H244" s="16">
        <f>E244 * F244 * 227.71584</f>
        <v>227.71583999999999</v>
      </c>
      <c r="I244" s="16">
        <f t="shared" si="20"/>
        <v>0</v>
      </c>
      <c r="J244" s="16">
        <f>E244 * F244 * 92.409232</f>
        <v>92.409232000000003</v>
      </c>
      <c r="K244" s="16">
        <f>E244 * F244 * 72.161225</f>
        <v>72.161225000000002</v>
      </c>
      <c r="L244" s="23">
        <f>M244/E244/F244</f>
        <v>484.51107999999994</v>
      </c>
      <c r="M244" s="17">
        <f>SUM(G244:K244)</f>
        <v>484.51107999999994</v>
      </c>
    </row>
    <row r="245" spans="1:13" ht="25.5">
      <c r="A245" s="11">
        <v>242</v>
      </c>
      <c r="B245" s="12" t="s">
        <v>585</v>
      </c>
      <c r="C245" s="13" t="s">
        <v>586</v>
      </c>
      <c r="D245" s="13" t="s">
        <v>587</v>
      </c>
      <c r="E245" s="14">
        <v>1</v>
      </c>
      <c r="F245" s="15">
        <v>1</v>
      </c>
      <c r="G245" s="16">
        <f>E245 * F245 * 82.6694</f>
        <v>82.669399999999996</v>
      </c>
      <c r="H245" s="16">
        <f>E245 * F245 * 2657.35404</f>
        <v>2657.3540400000002</v>
      </c>
      <c r="I245" s="16">
        <f t="shared" ref="I245:I276" si="22">E245 * F245 * 0</f>
        <v>0</v>
      </c>
      <c r="J245" s="16">
        <f>E245 * F245 * 82.834739</f>
        <v>82.834738999999999</v>
      </c>
      <c r="K245" s="16">
        <f>E245 * F245 * 494.000181</f>
        <v>494.000181</v>
      </c>
      <c r="L245" s="23">
        <f t="shared" ref="L245:L254" si="23">M245/E245/F245</f>
        <v>3316.8583599999997</v>
      </c>
      <c r="M245" s="17">
        <f>SUM(G245:K245)</f>
        <v>3316.8583599999997</v>
      </c>
    </row>
    <row r="246" spans="1:13">
      <c r="A246" s="11">
        <v>243</v>
      </c>
      <c r="B246" s="12" t="s">
        <v>588</v>
      </c>
      <c r="C246" s="13" t="s">
        <v>589</v>
      </c>
      <c r="D246" s="13" t="s">
        <v>590</v>
      </c>
      <c r="E246" s="14">
        <v>1</v>
      </c>
      <c r="F246" s="15">
        <v>1</v>
      </c>
      <c r="G246" s="16">
        <f>E246 * F246 * 52.400445</f>
        <v>52.400444999999998</v>
      </c>
      <c r="H246" s="16">
        <f>E246 * F246 * 3721.45752</f>
        <v>3721.4575199999999</v>
      </c>
      <c r="I246" s="16">
        <f t="shared" si="22"/>
        <v>0</v>
      </c>
      <c r="J246" s="16">
        <f>E246 * F246 * 52.505245</f>
        <v>52.505245000000002</v>
      </c>
      <c r="K246" s="16">
        <f>E246 * F246 * 669.613562</f>
        <v>669.613562</v>
      </c>
      <c r="L246" s="23">
        <f t="shared" si="23"/>
        <v>4495.976772</v>
      </c>
      <c r="M246" s="17">
        <f>SUM(G246:K246)</f>
        <v>4495.976772</v>
      </c>
    </row>
    <row r="247" spans="1:13">
      <c r="A247" s="11">
        <v>244</v>
      </c>
      <c r="B247" s="12" t="s">
        <v>591</v>
      </c>
      <c r="C247" s="13" t="s">
        <v>592</v>
      </c>
      <c r="D247" s="13" t="s">
        <v>593</v>
      </c>
      <c r="E247" s="14">
        <v>1</v>
      </c>
      <c r="F247" s="15">
        <v>1</v>
      </c>
      <c r="G247" s="16">
        <f>E247 * F247 * 16.768142</f>
        <v>16.768142000000001</v>
      </c>
      <c r="H247" s="16">
        <f>E247 * F247 * 1203.33708</f>
        <v>1203.33708</v>
      </c>
      <c r="I247" s="16">
        <f t="shared" si="22"/>
        <v>0</v>
      </c>
      <c r="J247" s="16">
        <f>E247 * F247 * 16.801678</f>
        <v>16.801677999999999</v>
      </c>
      <c r="K247" s="16">
        <f>E247 * F247 * 216.458708</f>
        <v>216.458708</v>
      </c>
      <c r="L247" s="23">
        <f t="shared" si="23"/>
        <v>1453.3656080000001</v>
      </c>
      <c r="M247" s="17">
        <f>SUM(G247:K247)</f>
        <v>1453.3656080000001</v>
      </c>
    </row>
    <row r="248" spans="1:13">
      <c r="A248" s="11">
        <v>245</v>
      </c>
      <c r="B248" s="12" t="s">
        <v>594</v>
      </c>
      <c r="C248" s="13" t="s">
        <v>595</v>
      </c>
      <c r="D248" s="13" t="s">
        <v>596</v>
      </c>
      <c r="E248" s="14">
        <v>1</v>
      </c>
      <c r="F248" s="15">
        <v>1</v>
      </c>
      <c r="G248" s="16">
        <f>E248 * F248 * 92.224783</f>
        <v>92.224783000000002</v>
      </c>
      <c r="H248" s="16">
        <f>E248 * F248 * 175.47948</f>
        <v>175.47948</v>
      </c>
      <c r="I248" s="16">
        <f t="shared" si="22"/>
        <v>0</v>
      </c>
      <c r="J248" s="16">
        <f>E248 * F248 * 92.409232</f>
        <v>92.409232000000003</v>
      </c>
      <c r="K248" s="16">
        <f>E248 * F248 * 63.019862</f>
        <v>63.019862000000003</v>
      </c>
      <c r="L248" s="23">
        <f t="shared" si="23"/>
        <v>423.13335699999993</v>
      </c>
      <c r="M248" s="17">
        <f>SUM(G248:K248)</f>
        <v>423.13335699999993</v>
      </c>
    </row>
    <row r="249" spans="1:13">
      <c r="A249" s="11">
        <v>246</v>
      </c>
      <c r="B249" s="12" t="s">
        <v>597</v>
      </c>
      <c r="C249" s="13" t="s">
        <v>598</v>
      </c>
      <c r="D249" s="13" t="s">
        <v>599</v>
      </c>
      <c r="E249" s="14">
        <v>1</v>
      </c>
      <c r="F249" s="15">
        <v>1</v>
      </c>
      <c r="G249" s="16">
        <f>E249 * F249 * 146.721246</f>
        <v>146.72124600000001</v>
      </c>
      <c r="H249" s="16">
        <f>E249 * F249 * 4267.42668</f>
        <v>4267.4266799999996</v>
      </c>
      <c r="I249" s="16">
        <f t="shared" si="22"/>
        <v>0</v>
      </c>
      <c r="J249" s="16">
        <f>E249 * F249 * 147.014687999999</f>
        <v>147.01468799999901</v>
      </c>
      <c r="K249" s="16">
        <f>E249 * F249 * 798.203457</f>
        <v>798.20345699999996</v>
      </c>
      <c r="L249" s="23">
        <f t="shared" si="23"/>
        <v>5359.3660709999986</v>
      </c>
      <c r="M249" s="17">
        <f>SUM(G249:K249)</f>
        <v>5359.3660709999986</v>
      </c>
    </row>
    <row r="250" spans="1:13">
      <c r="A250" s="11">
        <v>247</v>
      </c>
      <c r="B250" s="12" t="s">
        <v>600</v>
      </c>
      <c r="C250" s="13" t="s">
        <v>601</v>
      </c>
      <c r="D250" s="13" t="s">
        <v>599</v>
      </c>
      <c r="E250" s="14">
        <v>1</v>
      </c>
      <c r="F250" s="15">
        <v>1</v>
      </c>
      <c r="G250" s="16">
        <f>E250 * F250 * 70.9709</f>
        <v>70.9709</v>
      </c>
      <c r="H250" s="16">
        <f>E250 * F250 * 0</f>
        <v>0</v>
      </c>
      <c r="I250" s="16">
        <f t="shared" si="22"/>
        <v>0</v>
      </c>
      <c r="J250" s="16">
        <f>E250 * F250 * 71.112842</f>
        <v>71.112842000000001</v>
      </c>
      <c r="K250" s="16">
        <f>E250 * F250 * 24.864655</f>
        <v>24.864654999999999</v>
      </c>
      <c r="L250" s="23">
        <f t="shared" si="23"/>
        <v>166.948397</v>
      </c>
      <c r="M250" s="17">
        <f>SUM(G250:K250)</f>
        <v>166.948397</v>
      </c>
    </row>
    <row r="251" spans="1:13">
      <c r="A251" s="11">
        <v>248</v>
      </c>
      <c r="B251" s="12" t="s">
        <v>602</v>
      </c>
      <c r="C251" s="13" t="s">
        <v>603</v>
      </c>
      <c r="D251" s="13" t="s">
        <v>604</v>
      </c>
      <c r="E251" s="14">
        <v>1</v>
      </c>
      <c r="F251" s="15">
        <v>1</v>
      </c>
      <c r="G251" s="16">
        <f>E251 * F251 * 237.0896</f>
        <v>237.08959999999999</v>
      </c>
      <c r="H251" s="16">
        <f>E251 * F251 * 43005.925782</f>
        <v>43005.925781999998</v>
      </c>
      <c r="I251" s="16">
        <f t="shared" si="22"/>
        <v>0</v>
      </c>
      <c r="J251" s="16">
        <f>E251 * F251 * 237.563779</f>
        <v>237.56377900000001</v>
      </c>
      <c r="K251" s="16">
        <f>E251 * F251 * 7609.101353</f>
        <v>7609.101353</v>
      </c>
      <c r="L251" s="23">
        <f t="shared" si="23"/>
        <v>51089.680513999992</v>
      </c>
      <c r="M251" s="17">
        <f>SUM(G251:K251)</f>
        <v>51089.680513999992</v>
      </c>
    </row>
    <row r="252" spans="1:13">
      <c r="A252" s="11">
        <v>249</v>
      </c>
      <c r="B252" s="12" t="s">
        <v>605</v>
      </c>
      <c r="C252" s="13" t="s">
        <v>606</v>
      </c>
      <c r="D252" s="13" t="s">
        <v>607</v>
      </c>
      <c r="E252" s="14">
        <v>1</v>
      </c>
      <c r="F252" s="15">
        <v>1</v>
      </c>
      <c r="G252" s="16">
        <f>E252 * F252 * 356.323026</f>
        <v>356.32302600000003</v>
      </c>
      <c r="H252" s="16">
        <f>E252 * F252 * 158.068453</f>
        <v>158.06845300000001</v>
      </c>
      <c r="I252" s="16">
        <f t="shared" si="22"/>
        <v>0</v>
      </c>
      <c r="J252" s="16">
        <f>E252 * F252 * 357.035672</f>
        <v>357.03567199999998</v>
      </c>
      <c r="K252" s="16">
        <f>E252 * F252 * 152.499751</f>
        <v>152.499751</v>
      </c>
      <c r="L252" s="23">
        <f t="shared" si="23"/>
        <v>1023.9269019999999</v>
      </c>
      <c r="M252" s="17">
        <f>SUM(G252:K252)</f>
        <v>1023.9269019999999</v>
      </c>
    </row>
    <row r="253" spans="1:13" ht="25.5">
      <c r="A253" s="11">
        <v>250</v>
      </c>
      <c r="B253" s="12" t="s">
        <v>608</v>
      </c>
      <c r="C253" s="13" t="s">
        <v>609</v>
      </c>
      <c r="D253" s="13" t="s">
        <v>610</v>
      </c>
      <c r="E253" s="14">
        <v>1</v>
      </c>
      <c r="F253" s="15">
        <v>1</v>
      </c>
      <c r="G253" s="16">
        <f>E253 * F253 * 188.641602</f>
        <v>188.64160200000001</v>
      </c>
      <c r="H253" s="16">
        <f>E253 * F253 * 3.085255</f>
        <v>3.0852550000000001</v>
      </c>
      <c r="I253" s="16">
        <f t="shared" si="22"/>
        <v>0</v>
      </c>
      <c r="J253" s="16">
        <f>E253 * F253 * 189.018885</f>
        <v>189.01888500000001</v>
      </c>
      <c r="K253" s="16">
        <f>E253 * F253 * 66.630505</f>
        <v>66.630504999999999</v>
      </c>
      <c r="L253" s="23">
        <f t="shared" si="23"/>
        <v>447.37624700000003</v>
      </c>
      <c r="M253" s="17">
        <f>SUM(G253:K253)</f>
        <v>447.37624700000003</v>
      </c>
    </row>
    <row r="254" spans="1:13" ht="25.5">
      <c r="A254" s="11">
        <v>251</v>
      </c>
      <c r="B254" s="12" t="s">
        <v>611</v>
      </c>
      <c r="C254" s="13" t="s">
        <v>612</v>
      </c>
      <c r="D254" s="13" t="s">
        <v>610</v>
      </c>
      <c r="E254" s="14">
        <v>1</v>
      </c>
      <c r="F254" s="15">
        <v>1</v>
      </c>
      <c r="G254" s="16">
        <f>E254 * F254 * 400.3394</f>
        <v>400.33940000000001</v>
      </c>
      <c r="H254" s="16">
        <f>E254 * F254 * 10870.257612</f>
        <v>10870.257611999999</v>
      </c>
      <c r="I254" s="16">
        <f t="shared" si="22"/>
        <v>0</v>
      </c>
      <c r="J254" s="16">
        <f>E254 * F254 * 401.140079</f>
        <v>401.14007900000001</v>
      </c>
      <c r="K254" s="16">
        <f>E254 * F254 * 2042.55399099999</f>
        <v>2042.55399099999</v>
      </c>
      <c r="L254" s="23">
        <f t="shared" si="23"/>
        <v>13714.291081999991</v>
      </c>
      <c r="M254" s="17">
        <f>SUM(G254:K254)</f>
        <v>13714.291081999991</v>
      </c>
    </row>
    <row r="255" spans="1:13">
      <c r="A255" s="11">
        <v>252</v>
      </c>
      <c r="B255" s="12" t="s">
        <v>613</v>
      </c>
      <c r="C255" s="13" t="s">
        <v>614</v>
      </c>
      <c r="D255" s="13" t="s">
        <v>615</v>
      </c>
      <c r="E255" s="14">
        <v>1</v>
      </c>
      <c r="F255" s="15">
        <v>1</v>
      </c>
      <c r="G255" s="16">
        <f>E255 * F255 * 41920.356</f>
        <v>41920.356</v>
      </c>
      <c r="H255" s="16">
        <f>E255 * F255 * 101086.607164</f>
        <v>101086.607164</v>
      </c>
      <c r="I255" s="16">
        <f t="shared" si="22"/>
        <v>0</v>
      </c>
      <c r="J255" s="16">
        <f>E255 * F255 * 42004.196712</f>
        <v>42004.196711999997</v>
      </c>
      <c r="K255" s="16">
        <f>E255 * F255 * 32376.952979</f>
        <v>32376.952979000002</v>
      </c>
      <c r="L255" s="23">
        <f t="shared" si="18"/>
        <v>2173.8811285500001</v>
      </c>
      <c r="M255" s="17">
        <f>SUM(G255:K255)</f>
        <v>217388.11285500001</v>
      </c>
    </row>
    <row r="256" spans="1:13">
      <c r="A256" s="11">
        <v>253</v>
      </c>
      <c r="B256" s="12" t="s">
        <v>616</v>
      </c>
      <c r="C256" s="13" t="s">
        <v>617</v>
      </c>
      <c r="D256" s="13" t="s">
        <v>618</v>
      </c>
      <c r="E256" s="14">
        <v>1</v>
      </c>
      <c r="F256" s="15">
        <v>1</v>
      </c>
      <c r="G256" s="16">
        <f>E256 * F256 * 237.0896</f>
        <v>237.08959999999999</v>
      </c>
      <c r="H256" s="16">
        <f>E256 * F256 * 8999.470239</f>
        <v>8999.4702390000002</v>
      </c>
      <c r="I256" s="16">
        <f t="shared" si="22"/>
        <v>0</v>
      </c>
      <c r="J256" s="16">
        <f>E256 * F256 * 237.563779</f>
        <v>237.56377900000001</v>
      </c>
      <c r="K256" s="16">
        <f>E256 * F256 * 1657.971633</f>
        <v>1657.9716330000001</v>
      </c>
      <c r="L256" s="23">
        <f>M256/E256/F256</f>
        <v>11132.095250999999</v>
      </c>
      <c r="M256" s="17">
        <f>SUM(G256:K256)</f>
        <v>11132.095250999999</v>
      </c>
    </row>
    <row r="257" spans="1:13">
      <c r="A257" s="11">
        <v>254</v>
      </c>
      <c r="B257" s="12" t="s">
        <v>619</v>
      </c>
      <c r="C257" s="13" t="s">
        <v>620</v>
      </c>
      <c r="D257" s="13" t="s">
        <v>618</v>
      </c>
      <c r="E257" s="14">
        <v>1</v>
      </c>
      <c r="F257" s="15">
        <v>1</v>
      </c>
      <c r="G257" s="16">
        <f>E257 * F257 * 94.3679</f>
        <v>94.367900000000006</v>
      </c>
      <c r="H257" s="16">
        <f>E257 * F257 * 31.991082</f>
        <v>31.991081999999999</v>
      </c>
      <c r="I257" s="16">
        <f t="shared" si="22"/>
        <v>0</v>
      </c>
      <c r="J257" s="16">
        <f>E257 * F257 * 94.556636</f>
        <v>94.556635999999997</v>
      </c>
      <c r="K257" s="16">
        <f>E257 * F257 * 38.660233</f>
        <v>38.660232999999998</v>
      </c>
      <c r="L257" s="23">
        <f>M257/E257/F257</f>
        <v>259.575851</v>
      </c>
      <c r="M257" s="17">
        <f>SUM(G257:K257)</f>
        <v>259.575851</v>
      </c>
    </row>
    <row r="258" spans="1:13">
      <c r="A258" s="11">
        <v>255</v>
      </c>
      <c r="B258" s="12" t="s">
        <v>621</v>
      </c>
      <c r="C258" s="13" t="s">
        <v>622</v>
      </c>
      <c r="D258" s="13" t="s">
        <v>623</v>
      </c>
      <c r="E258" s="14">
        <v>1</v>
      </c>
      <c r="F258" s="15">
        <v>1</v>
      </c>
      <c r="G258" s="16">
        <f>E258 * F258 * 1048.0089</f>
        <v>1048.0089</v>
      </c>
      <c r="H258" s="16">
        <f>E258 * F258 * 0</f>
        <v>0</v>
      </c>
      <c r="I258" s="16">
        <f t="shared" si="22"/>
        <v>0</v>
      </c>
      <c r="J258" s="16">
        <f>E258 * F258 * 1050.104918</f>
        <v>1050.104918</v>
      </c>
      <c r="K258" s="16">
        <f>E258 * F258 * 367.169918</f>
        <v>367.169918</v>
      </c>
      <c r="L258" s="23">
        <f t="shared" si="18"/>
        <v>24.652837359999999</v>
      </c>
      <c r="M258" s="17">
        <f>SUM(G258:K258)</f>
        <v>2465.2837359999999</v>
      </c>
    </row>
    <row r="259" spans="1:13">
      <c r="A259" s="11">
        <v>256</v>
      </c>
      <c r="B259" s="12" t="s">
        <v>624</v>
      </c>
      <c r="C259" s="13" t="s">
        <v>625</v>
      </c>
      <c r="D259" s="13" t="s">
        <v>623</v>
      </c>
      <c r="E259" s="14">
        <v>1</v>
      </c>
      <c r="F259" s="15">
        <v>1</v>
      </c>
      <c r="G259" s="16">
        <f>E259 * F259 * 2515.22136</f>
        <v>2515.22136</v>
      </c>
      <c r="H259" s="16">
        <f>E259 * F259 * 0</f>
        <v>0</v>
      </c>
      <c r="I259" s="16">
        <f t="shared" si="22"/>
        <v>0</v>
      </c>
      <c r="J259" s="16">
        <f>E259 * F259 * 2520.251803</f>
        <v>2520.2518030000001</v>
      </c>
      <c r="K259" s="16">
        <f>E259 * F259 * 881.207803</f>
        <v>881.20780300000001</v>
      </c>
      <c r="L259" s="23">
        <f t="shared" si="18"/>
        <v>59.166809660000006</v>
      </c>
      <c r="M259" s="17">
        <f>SUM(G259:K259)</f>
        <v>5916.6809660000008</v>
      </c>
    </row>
    <row r="260" spans="1:13">
      <c r="A260" s="11">
        <v>257</v>
      </c>
      <c r="B260" s="12" t="s">
        <v>626</v>
      </c>
      <c r="C260" s="13" t="s">
        <v>627</v>
      </c>
      <c r="D260" s="13" t="s">
        <v>628</v>
      </c>
      <c r="E260" s="14">
        <v>1</v>
      </c>
      <c r="F260" s="15">
        <v>1</v>
      </c>
      <c r="G260" s="16">
        <f>E260 * F260 * 39.824338</f>
        <v>39.824337999999997</v>
      </c>
      <c r="H260" s="16">
        <f>E260 * F260 * 58.43772</f>
        <v>58.437719999999999</v>
      </c>
      <c r="I260" s="16">
        <f t="shared" si="22"/>
        <v>0</v>
      </c>
      <c r="J260" s="16">
        <f>E260 * F260 * 39.903987</f>
        <v>39.903987000000001</v>
      </c>
      <c r="K260" s="16">
        <f>E260 * F260 * 24.179057</f>
        <v>24.179057</v>
      </c>
      <c r="L260" s="23">
        <f>M260/E260/F260</f>
        <v>162.345102</v>
      </c>
      <c r="M260" s="17">
        <f>SUM(G260:K260)</f>
        <v>162.345102</v>
      </c>
    </row>
    <row r="261" spans="1:13" ht="25.5">
      <c r="A261" s="11">
        <v>258</v>
      </c>
      <c r="B261" s="12" t="s">
        <v>629</v>
      </c>
      <c r="C261" s="13" t="s">
        <v>630</v>
      </c>
      <c r="D261" s="13" t="s">
        <v>631</v>
      </c>
      <c r="E261" s="14">
        <v>1</v>
      </c>
      <c r="F261" s="15">
        <v>1</v>
      </c>
      <c r="G261" s="16">
        <f>E261 * F261 * 69.48909</f>
        <v>69.489090000000004</v>
      </c>
      <c r="H261" s="16">
        <f>E261 * F261 * 559.557017</f>
        <v>559.55701699999997</v>
      </c>
      <c r="I261" s="16">
        <f t="shared" si="22"/>
        <v>0</v>
      </c>
      <c r="J261" s="16">
        <f>E261 * F261 * 69.628068</f>
        <v>69.628067999999999</v>
      </c>
      <c r="K261" s="16">
        <f>E261 * F261 * 122.267980999999</f>
        <v>122.267980999999</v>
      </c>
      <c r="L261" s="23">
        <f t="shared" ref="L261:L265" si="24">M261/E261/F261</f>
        <v>820.94215599999893</v>
      </c>
      <c r="M261" s="17">
        <f>SUM(G261:K261)</f>
        <v>820.94215599999893</v>
      </c>
    </row>
    <row r="262" spans="1:13">
      <c r="A262" s="11">
        <v>259</v>
      </c>
      <c r="B262" s="12" t="s">
        <v>632</v>
      </c>
      <c r="C262" s="13" t="s">
        <v>633</v>
      </c>
      <c r="D262" s="13" t="s">
        <v>631</v>
      </c>
      <c r="E262" s="14">
        <v>1</v>
      </c>
      <c r="F262" s="15">
        <v>1</v>
      </c>
      <c r="G262" s="16">
        <f>E262 * F262 * 127.35767</f>
        <v>127.35767</v>
      </c>
      <c r="H262" s="16">
        <f>E262 * F262 * 917.180728</f>
        <v>917.18072800000004</v>
      </c>
      <c r="I262" s="16">
        <f t="shared" si="22"/>
        <v>0</v>
      </c>
      <c r="J262" s="16">
        <f>E262 * F262 * 127.612384999999</f>
        <v>127.61238499999899</v>
      </c>
      <c r="K262" s="16">
        <f>E262 * F262 * 205.126387</f>
        <v>205.12638699999999</v>
      </c>
      <c r="L262" s="23">
        <f t="shared" si="24"/>
        <v>1377.2771699999992</v>
      </c>
      <c r="M262" s="17">
        <f>SUM(G262:K262)</f>
        <v>1377.2771699999992</v>
      </c>
    </row>
    <row r="263" spans="1:13" ht="25.5">
      <c r="A263" s="11">
        <v>260</v>
      </c>
      <c r="B263" s="12" t="s">
        <v>634</v>
      </c>
      <c r="C263" s="13" t="s">
        <v>635</v>
      </c>
      <c r="D263" s="13" t="s">
        <v>631</v>
      </c>
      <c r="E263" s="14">
        <v>1</v>
      </c>
      <c r="F263" s="15">
        <v>1</v>
      </c>
      <c r="G263" s="16">
        <f>E263 * F263 * 33.536285</f>
        <v>33.536284999999999</v>
      </c>
      <c r="H263" s="16">
        <f>E263 * F263 * 48.89808</f>
        <v>48.89808</v>
      </c>
      <c r="I263" s="16">
        <f t="shared" si="22"/>
        <v>0</v>
      </c>
      <c r="J263" s="16">
        <f>E263 * F263 * 33.603358</f>
        <v>33.603358</v>
      </c>
      <c r="K263" s="16">
        <f>E263 * F263 * 20.306601</f>
        <v>20.306601000000001</v>
      </c>
      <c r="L263" s="23">
        <f t="shared" si="24"/>
        <v>136.344324</v>
      </c>
      <c r="M263" s="17">
        <f>SUM(G263:K263)</f>
        <v>136.344324</v>
      </c>
    </row>
    <row r="264" spans="1:13">
      <c r="A264" s="11">
        <v>261</v>
      </c>
      <c r="B264" s="12" t="s">
        <v>636</v>
      </c>
      <c r="C264" s="13" t="s">
        <v>637</v>
      </c>
      <c r="D264" s="13" t="s">
        <v>631</v>
      </c>
      <c r="E264" s="14">
        <v>1</v>
      </c>
      <c r="F264" s="15">
        <v>1</v>
      </c>
      <c r="G264" s="16">
        <f>E264 * F264 * 94.320801</f>
        <v>94.320801000000003</v>
      </c>
      <c r="H264" s="16">
        <f>E264 * F264 * 373.45968</f>
        <v>373.45967999999999</v>
      </c>
      <c r="I264" s="16">
        <f t="shared" si="22"/>
        <v>0</v>
      </c>
      <c r="J264" s="16">
        <f>E264 * F264 * 94.509443</f>
        <v>94.509443000000005</v>
      </c>
      <c r="K264" s="16">
        <f>E264 * F264 * 98.400736</f>
        <v>98.400735999999995</v>
      </c>
      <c r="L264" s="23">
        <f t="shared" si="24"/>
        <v>660.69065999999998</v>
      </c>
      <c r="M264" s="17">
        <f>SUM(G264:K264)</f>
        <v>660.69065999999998</v>
      </c>
    </row>
    <row r="265" spans="1:13">
      <c r="A265" s="11">
        <v>262</v>
      </c>
      <c r="B265" s="12" t="s">
        <v>638</v>
      </c>
      <c r="C265" s="13" t="s">
        <v>639</v>
      </c>
      <c r="D265" s="13" t="s">
        <v>640</v>
      </c>
      <c r="E265" s="14">
        <v>1</v>
      </c>
      <c r="F265" s="15">
        <v>1</v>
      </c>
      <c r="G265" s="16">
        <f>E265 * F265 * 19.912169</f>
        <v>19.912168999999999</v>
      </c>
      <c r="H265" s="16">
        <f>E265 * F265 * 12</f>
        <v>12</v>
      </c>
      <c r="I265" s="16">
        <f t="shared" si="22"/>
        <v>0</v>
      </c>
      <c r="J265" s="16">
        <f>E265 * F265 * 19.951993</f>
        <v>19.951993000000002</v>
      </c>
      <c r="K265" s="16">
        <f>E265 * F265 * 9.076228</f>
        <v>9.0762280000000004</v>
      </c>
      <c r="L265" s="23">
        <f t="shared" si="24"/>
        <v>60.940390000000001</v>
      </c>
      <c r="M265" s="17">
        <f>SUM(G265:K265)</f>
        <v>60.940390000000001</v>
      </c>
    </row>
    <row r="266" spans="1:13">
      <c r="A266" s="11">
        <v>263</v>
      </c>
      <c r="B266" s="12" t="s">
        <v>641</v>
      </c>
      <c r="C266" s="13" t="s">
        <v>642</v>
      </c>
      <c r="D266" s="13" t="s">
        <v>643</v>
      </c>
      <c r="E266" s="14">
        <v>1</v>
      </c>
      <c r="F266" s="15">
        <v>1</v>
      </c>
      <c r="G266" s="16">
        <f>E266 * F266 * 2913.464742</f>
        <v>2913.4647420000001</v>
      </c>
      <c r="H266" s="16">
        <f>E266 * F266 * 2014.848</f>
        <v>2014.848</v>
      </c>
      <c r="I266" s="16">
        <f t="shared" si="22"/>
        <v>0</v>
      </c>
      <c r="J266" s="16">
        <f>E266 * F266 * 2919.291671</f>
        <v>2919.291671</v>
      </c>
      <c r="K266" s="16">
        <f>E266 * F266 * 1373.330772</f>
        <v>1373.330772</v>
      </c>
      <c r="L266" s="23">
        <f t="shared" ref="L266:L324" si="25">M266/E266/F266/100</f>
        <v>92.209351850000004</v>
      </c>
      <c r="M266" s="17">
        <f>SUM(G266:K266)</f>
        <v>9220.9351850000003</v>
      </c>
    </row>
    <row r="267" spans="1:13" ht="25.5">
      <c r="A267" s="11">
        <v>264</v>
      </c>
      <c r="B267" s="12" t="s">
        <v>644</v>
      </c>
      <c r="C267" s="13" t="s">
        <v>645</v>
      </c>
      <c r="D267" s="13" t="s">
        <v>646</v>
      </c>
      <c r="E267" s="14">
        <v>1</v>
      </c>
      <c r="F267" s="15">
        <v>1</v>
      </c>
      <c r="G267" s="16">
        <f>E267 * F267 * 14672.1246</f>
        <v>14672.124599999999</v>
      </c>
      <c r="H267" s="16">
        <f>E267 * F267 * 109.329977</f>
        <v>109.329977</v>
      </c>
      <c r="I267" s="16">
        <f t="shared" si="22"/>
        <v>0</v>
      </c>
      <c r="J267" s="16">
        <f>E267 * F267 * 14701.468849</f>
        <v>14701.468849000001</v>
      </c>
      <c r="K267" s="16">
        <f>E267 * F267 * 5159.5116</f>
        <v>5159.5115999999998</v>
      </c>
      <c r="L267" s="23">
        <f t="shared" si="25"/>
        <v>346.42435025999998</v>
      </c>
      <c r="M267" s="17">
        <f>SUM(G267:K267)</f>
        <v>34642.435025999999</v>
      </c>
    </row>
    <row r="268" spans="1:13">
      <c r="A268" s="11">
        <v>265</v>
      </c>
      <c r="B268" s="12" t="s">
        <v>647</v>
      </c>
      <c r="C268" s="13" t="s">
        <v>648</v>
      </c>
      <c r="D268" s="13" t="s">
        <v>161</v>
      </c>
      <c r="E268" s="14">
        <v>1</v>
      </c>
      <c r="F268" s="15">
        <v>1</v>
      </c>
      <c r="G268" s="16">
        <f>E268 * F268 * 5377.231162</f>
        <v>5377.231162</v>
      </c>
      <c r="H268" s="16">
        <f>E268 * F268 * 1695.276</f>
        <v>1695.2760000000001</v>
      </c>
      <c r="I268" s="16">
        <f t="shared" si="22"/>
        <v>0</v>
      </c>
      <c r="J268" s="16">
        <f>E268 * F268 * 5387.985624</f>
        <v>5387.9856239999999</v>
      </c>
      <c r="K268" s="16">
        <f>E268 * F268 * 2180.586238</f>
        <v>2180.5862379999999</v>
      </c>
      <c r="L268" s="23">
        <f t="shared" si="25"/>
        <v>146.41079023999998</v>
      </c>
      <c r="M268" s="17">
        <f>SUM(G268:K268)</f>
        <v>14641.079023999999</v>
      </c>
    </row>
    <row r="269" spans="1:13" ht="25.5">
      <c r="A269" s="11">
        <v>266</v>
      </c>
      <c r="B269" s="12" t="s">
        <v>649</v>
      </c>
      <c r="C269" s="13" t="s">
        <v>650</v>
      </c>
      <c r="D269" s="13" t="s">
        <v>651</v>
      </c>
      <c r="E269" s="14">
        <v>1</v>
      </c>
      <c r="F269" s="15">
        <v>1</v>
      </c>
      <c r="G269" s="16">
        <f>E269 * F269 * 28.763692</f>
        <v>28.763691999999999</v>
      </c>
      <c r="H269" s="16">
        <f>E269 * F269 * 565.134443</f>
        <v>565.13444300000003</v>
      </c>
      <c r="I269" s="16">
        <f t="shared" si="22"/>
        <v>0</v>
      </c>
      <c r="J269" s="16">
        <f>E269 * F269 * 28.821219</f>
        <v>28.821218999999999</v>
      </c>
      <c r="K269" s="16">
        <f>E269 * F269 * 108.975887</f>
        <v>108.975887</v>
      </c>
      <c r="L269" s="23">
        <f>M269/E269/F269</f>
        <v>731.69524100000012</v>
      </c>
      <c r="M269" s="17">
        <f>SUM(G269:K269)</f>
        <v>731.69524100000012</v>
      </c>
    </row>
    <row r="270" spans="1:13" ht="25.5">
      <c r="A270" s="11">
        <v>267</v>
      </c>
      <c r="B270" s="12" t="s">
        <v>652</v>
      </c>
      <c r="C270" s="13" t="s">
        <v>653</v>
      </c>
      <c r="D270" s="13" t="s">
        <v>654</v>
      </c>
      <c r="E270" s="14">
        <v>1</v>
      </c>
      <c r="F270" s="15">
        <v>1</v>
      </c>
      <c r="G270" s="16">
        <f>E270 * F270 * 4615.569045</f>
        <v>4615.5690450000002</v>
      </c>
      <c r="H270" s="16">
        <f>E270 * F270 * 24386.022333</f>
        <v>24386.022333000001</v>
      </c>
      <c r="I270" s="16">
        <f t="shared" si="22"/>
        <v>0</v>
      </c>
      <c r="J270" s="16">
        <f>E270 * F270 * 4624.800184</f>
        <v>4624.8001839999997</v>
      </c>
      <c r="K270" s="16">
        <f>E270 * F270 * 5884.618523</f>
        <v>5884.6185230000001</v>
      </c>
      <c r="L270" s="23">
        <f t="shared" si="25"/>
        <v>395.11010085000004</v>
      </c>
      <c r="M270" s="17">
        <f>SUM(G270:K270)</f>
        <v>39511.010085000002</v>
      </c>
    </row>
    <row r="271" spans="1:13" ht="25.5">
      <c r="A271" s="11">
        <v>268</v>
      </c>
      <c r="B271" s="12" t="s">
        <v>655</v>
      </c>
      <c r="C271" s="13" t="s">
        <v>656</v>
      </c>
      <c r="D271" s="13" t="s">
        <v>654</v>
      </c>
      <c r="E271" s="14">
        <v>1</v>
      </c>
      <c r="F271" s="15">
        <v>1</v>
      </c>
      <c r="G271" s="16">
        <f>E271 * F271 * 4615.569045</f>
        <v>4615.5690450000002</v>
      </c>
      <c r="H271" s="16">
        <f>E271 * F271 * 29810.912858</f>
        <v>29810.912858</v>
      </c>
      <c r="I271" s="16">
        <f t="shared" si="22"/>
        <v>0</v>
      </c>
      <c r="J271" s="16">
        <f>E271 * F271 * 4624.800184</f>
        <v>4624.8001839999997</v>
      </c>
      <c r="K271" s="16">
        <f>E271 * F271 * 6833.974365</f>
        <v>6833.974365</v>
      </c>
      <c r="L271" s="23">
        <f t="shared" si="25"/>
        <v>458.85256451999999</v>
      </c>
      <c r="M271" s="17">
        <f>SUM(G271:K271)</f>
        <v>45885.256452000001</v>
      </c>
    </row>
    <row r="272" spans="1:13" ht="25.5">
      <c r="A272" s="11">
        <v>269</v>
      </c>
      <c r="B272" s="12" t="s">
        <v>657</v>
      </c>
      <c r="C272" s="13" t="s">
        <v>658</v>
      </c>
      <c r="D272" s="13" t="s">
        <v>654</v>
      </c>
      <c r="E272" s="14">
        <v>1</v>
      </c>
      <c r="F272" s="15">
        <v>1</v>
      </c>
      <c r="G272" s="16">
        <f>E272 * F272 * 4615.569045</f>
        <v>4615.5690450000002</v>
      </c>
      <c r="H272" s="16">
        <f>E272 * F272 * 41019.804726</f>
        <v>41019.804726000002</v>
      </c>
      <c r="I272" s="16">
        <f t="shared" si="22"/>
        <v>0</v>
      </c>
      <c r="J272" s="16">
        <f>E272 * F272 * 4624.800184</f>
        <v>4624.8001839999997</v>
      </c>
      <c r="K272" s="16">
        <f>E272 * F272 * 8795.530442</f>
        <v>8795.5304419999993</v>
      </c>
      <c r="L272" s="23">
        <f t="shared" si="25"/>
        <v>590.55704397</v>
      </c>
      <c r="M272" s="17">
        <f>SUM(G272:K272)</f>
        <v>59055.704396999994</v>
      </c>
    </row>
    <row r="273" spans="1:13">
      <c r="A273" s="11">
        <v>270</v>
      </c>
      <c r="B273" s="12" t="s">
        <v>659</v>
      </c>
      <c r="C273" s="13" t="s">
        <v>660</v>
      </c>
      <c r="D273" s="13" t="s">
        <v>654</v>
      </c>
      <c r="E273" s="14">
        <v>1</v>
      </c>
      <c r="F273" s="15">
        <v>1</v>
      </c>
      <c r="G273" s="16">
        <f>E273 * F273 * 4615.569045</f>
        <v>4615.5690450000002</v>
      </c>
      <c r="H273" s="16">
        <f>E273 * F273 * 21806.18762</f>
        <v>21806.187620000001</v>
      </c>
      <c r="I273" s="16">
        <f t="shared" si="22"/>
        <v>0</v>
      </c>
      <c r="J273" s="16">
        <f>E273 * F273 * 4624.800184</f>
        <v>4624.8001839999997</v>
      </c>
      <c r="K273" s="16">
        <f>E273 * F273 * 5433.147449</f>
        <v>5433.1474490000001</v>
      </c>
      <c r="L273" s="23">
        <f t="shared" si="25"/>
        <v>364.79704297999996</v>
      </c>
      <c r="M273" s="17">
        <f>SUM(G273:K273)</f>
        <v>36479.704297999997</v>
      </c>
    </row>
    <row r="274" spans="1:13">
      <c r="A274" s="11">
        <v>271</v>
      </c>
      <c r="B274" s="12" t="s">
        <v>661</v>
      </c>
      <c r="C274" s="13" t="s">
        <v>662</v>
      </c>
      <c r="D274" s="13" t="s">
        <v>654</v>
      </c>
      <c r="E274" s="14">
        <v>1</v>
      </c>
      <c r="F274" s="15">
        <v>1</v>
      </c>
      <c r="G274" s="16">
        <f>E274 * F274 * 4615.569045</f>
        <v>4615.5690450000002</v>
      </c>
      <c r="H274" s="16">
        <f>E274 * F274 * 13869.957422</f>
        <v>13869.957421999999</v>
      </c>
      <c r="I274" s="16">
        <f t="shared" si="22"/>
        <v>0</v>
      </c>
      <c r="J274" s="16">
        <f>E274 * F274 * 4624.800184</f>
        <v>4624.8001839999997</v>
      </c>
      <c r="K274" s="16">
        <f>E274 * F274 * 4044.307164</f>
        <v>4044.3071639999998</v>
      </c>
      <c r="L274" s="23">
        <f t="shared" si="25"/>
        <v>271.54633815</v>
      </c>
      <c r="M274" s="17">
        <f>SUM(G274:K274)</f>
        <v>27154.633815000001</v>
      </c>
    </row>
    <row r="275" spans="1:13" ht="25.5">
      <c r="A275" s="11">
        <v>272</v>
      </c>
      <c r="B275" s="12" t="s">
        <v>663</v>
      </c>
      <c r="C275" s="13" t="s">
        <v>664</v>
      </c>
      <c r="D275" s="13" t="s">
        <v>665</v>
      </c>
      <c r="E275" s="14">
        <v>1</v>
      </c>
      <c r="F275" s="15">
        <v>1</v>
      </c>
      <c r="G275" s="16">
        <f>E275 * F275 * 198.670146</f>
        <v>198.67014599999999</v>
      </c>
      <c r="H275" s="16">
        <f>E275 * F275 * 1041.853663</f>
        <v>1041.8536630000001</v>
      </c>
      <c r="I275" s="16">
        <f t="shared" si="22"/>
        <v>0</v>
      </c>
      <c r="J275" s="16">
        <f>E275 * F275 * 199.067485999999</f>
        <v>199.06748599999901</v>
      </c>
      <c r="K275" s="16">
        <f>E275 * F275 * 251.928477</f>
        <v>251.92847699999999</v>
      </c>
      <c r="L275" s="23">
        <f>M275/E275/F275</f>
        <v>1691.519771999999</v>
      </c>
      <c r="M275" s="17">
        <f>SUM(G275:K275)</f>
        <v>1691.519771999999</v>
      </c>
    </row>
    <row r="276" spans="1:13" ht="25.5">
      <c r="A276" s="11">
        <v>273</v>
      </c>
      <c r="B276" s="12" t="s">
        <v>666</v>
      </c>
      <c r="C276" s="13" t="s">
        <v>667</v>
      </c>
      <c r="D276" s="13" t="s">
        <v>668</v>
      </c>
      <c r="E276" s="14">
        <v>1</v>
      </c>
      <c r="F276" s="15">
        <v>1</v>
      </c>
      <c r="G276" s="16">
        <f>E276 * F276 * 321.29514</f>
        <v>321.29514</v>
      </c>
      <c r="H276" s="16">
        <f>E276 * F276 * 113.840019</f>
        <v>113.840019</v>
      </c>
      <c r="I276" s="16">
        <f t="shared" si="22"/>
        <v>0</v>
      </c>
      <c r="J276" s="16">
        <f>E276 * F276 * 321.93773</f>
        <v>321.93772999999999</v>
      </c>
      <c r="K276" s="16">
        <f>E276 * F276 * 132.487756</f>
        <v>132.48775599999999</v>
      </c>
      <c r="L276" s="23">
        <f t="shared" ref="L276:L277" si="26">M276/E276/F276</f>
        <v>889.56064500000002</v>
      </c>
      <c r="M276" s="17">
        <f>SUM(G276:K276)</f>
        <v>889.56064500000002</v>
      </c>
    </row>
    <row r="277" spans="1:13" ht="25.5">
      <c r="A277" s="11">
        <v>274</v>
      </c>
      <c r="B277" s="12" t="s">
        <v>669</v>
      </c>
      <c r="C277" s="13" t="s">
        <v>670</v>
      </c>
      <c r="D277" s="13" t="s">
        <v>668</v>
      </c>
      <c r="E277" s="14">
        <v>1</v>
      </c>
      <c r="F277" s="15">
        <v>1</v>
      </c>
      <c r="G277" s="16">
        <f>E277 * F277 * 58.196305</f>
        <v>58.196305000000002</v>
      </c>
      <c r="H277" s="16">
        <f>E277 * F277 * 2.619555</f>
        <v>2.6195550000000001</v>
      </c>
      <c r="I277" s="16">
        <f t="shared" ref="I277:I304" si="27">E277 * F277 * 0</f>
        <v>0</v>
      </c>
      <c r="J277" s="16">
        <f>E277 * F277 * 58.312698</f>
        <v>58.312697999999997</v>
      </c>
      <c r="K277" s="16">
        <f>E277 * F277 * 20.847498</f>
        <v>20.847498000000002</v>
      </c>
      <c r="L277" s="23">
        <f t="shared" si="26"/>
        <v>139.976056</v>
      </c>
      <c r="M277" s="17">
        <f>SUM(G277:K277)</f>
        <v>139.976056</v>
      </c>
    </row>
    <row r="278" spans="1:13" ht="38.25">
      <c r="A278" s="11">
        <v>275</v>
      </c>
      <c r="B278" s="12" t="s">
        <v>671</v>
      </c>
      <c r="C278" s="13" t="s">
        <v>672</v>
      </c>
      <c r="D278" s="13" t="s">
        <v>673</v>
      </c>
      <c r="E278" s="14">
        <v>1</v>
      </c>
      <c r="F278" s="15">
        <v>1</v>
      </c>
      <c r="G278" s="16">
        <f>E278 * F278 * 7357.022478</f>
        <v>7357.0224779999999</v>
      </c>
      <c r="H278" s="16">
        <f>E278 * F278 * 7235.276638</f>
        <v>7235.2766380000003</v>
      </c>
      <c r="I278" s="16">
        <f t="shared" si="27"/>
        <v>0</v>
      </c>
      <c r="J278" s="16">
        <f>E278 * F278 * 7371.736523</f>
        <v>7371.7365229999996</v>
      </c>
      <c r="K278" s="16">
        <f>E278 * F278 * 3843.706237</f>
        <v>3843.7062369999999</v>
      </c>
      <c r="L278" s="23">
        <f t="shared" si="25"/>
        <v>258.07741876</v>
      </c>
      <c r="M278" s="17">
        <f>SUM(G278:K278)</f>
        <v>25807.741876</v>
      </c>
    </row>
    <row r="279" spans="1:13" ht="25.5">
      <c r="A279" s="11">
        <v>276</v>
      </c>
      <c r="B279" s="12" t="s">
        <v>674</v>
      </c>
      <c r="C279" s="13" t="s">
        <v>675</v>
      </c>
      <c r="D279" s="13" t="s">
        <v>676</v>
      </c>
      <c r="E279" s="14">
        <v>1</v>
      </c>
      <c r="F279" s="15">
        <v>1</v>
      </c>
      <c r="G279" s="16">
        <f>E279 * F279 * 9554.87832</f>
        <v>9554.8783199999998</v>
      </c>
      <c r="H279" s="16">
        <f>E279 * F279 * 61817.296576</f>
        <v>61817.296576000001</v>
      </c>
      <c r="I279" s="16">
        <f t="shared" si="27"/>
        <v>0</v>
      </c>
      <c r="J279" s="16">
        <f>E279 * F279 * 9573.988077</f>
        <v>9573.988077</v>
      </c>
      <c r="K279" s="16">
        <f>E279 * F279 * 14165.57852</f>
        <v>14165.578519999999</v>
      </c>
      <c r="L279" s="23">
        <f t="shared" si="25"/>
        <v>951.11741493</v>
      </c>
      <c r="M279" s="17">
        <f>SUM(G279:K279)</f>
        <v>95111.741492999994</v>
      </c>
    </row>
    <row r="280" spans="1:13" ht="25.5">
      <c r="A280" s="11">
        <v>277</v>
      </c>
      <c r="B280" s="12" t="s">
        <v>677</v>
      </c>
      <c r="C280" s="13" t="s">
        <v>678</v>
      </c>
      <c r="D280" s="13" t="s">
        <v>679</v>
      </c>
      <c r="E280" s="14">
        <v>1</v>
      </c>
      <c r="F280" s="15">
        <v>1</v>
      </c>
      <c r="G280" s="16">
        <f>E280 * F280 * 81.744694</f>
        <v>81.744693999999996</v>
      </c>
      <c r="H280" s="16">
        <f t="shared" ref="H280:H294" si="28">E280 * F280 * 0</f>
        <v>0</v>
      </c>
      <c r="I280" s="16">
        <f t="shared" si="27"/>
        <v>0</v>
      </c>
      <c r="J280" s="16">
        <f>E280 * F280 * 81.908184</f>
        <v>81.908184000000006</v>
      </c>
      <c r="K280" s="16">
        <f>E280 * F280 * 28.639254</f>
        <v>28.639254000000001</v>
      </c>
      <c r="L280" s="23">
        <f>M280/E280/F280/1000</f>
        <v>0.19229213199999998</v>
      </c>
      <c r="M280" s="17">
        <f>SUM(G280:K280)</f>
        <v>192.29213199999998</v>
      </c>
    </row>
    <row r="281" spans="1:13" ht="25.5">
      <c r="A281" s="11">
        <v>278</v>
      </c>
      <c r="B281" s="12" t="s">
        <v>680</v>
      </c>
      <c r="C281" s="13" t="s">
        <v>681</v>
      </c>
      <c r="D281" s="13" t="s">
        <v>679</v>
      </c>
      <c r="E281" s="14">
        <v>1</v>
      </c>
      <c r="F281" s="15">
        <v>1</v>
      </c>
      <c r="G281" s="16">
        <f>E281 * F281 * 651.861536</f>
        <v>651.861536</v>
      </c>
      <c r="H281" s="16">
        <f t="shared" si="28"/>
        <v>0</v>
      </c>
      <c r="I281" s="16">
        <f t="shared" si="27"/>
        <v>0</v>
      </c>
      <c r="J281" s="16">
        <f>E281 * F281 * 653.165259</f>
        <v>653.16525899999999</v>
      </c>
      <c r="K281" s="16">
        <f>E281 * F281 * 228.379689999999</f>
        <v>228.37968999999899</v>
      </c>
      <c r="L281" s="23">
        <f t="shared" ref="L281:L291" si="29">M281/E281/F281/1000</f>
        <v>1.5334064849999991</v>
      </c>
      <c r="M281" s="17">
        <f>SUM(G281:K281)</f>
        <v>1533.4064849999991</v>
      </c>
    </row>
    <row r="282" spans="1:13" ht="25.5">
      <c r="A282" s="11">
        <v>279</v>
      </c>
      <c r="B282" s="12" t="s">
        <v>682</v>
      </c>
      <c r="C282" s="13" t="s">
        <v>683</v>
      </c>
      <c r="D282" s="13" t="s">
        <v>679</v>
      </c>
      <c r="E282" s="14">
        <v>1</v>
      </c>
      <c r="F282" s="15">
        <v>1</v>
      </c>
      <c r="G282" s="16">
        <f>E282 * F282 * 2319.086406</f>
        <v>2319.0864059999999</v>
      </c>
      <c r="H282" s="16">
        <f t="shared" si="28"/>
        <v>0</v>
      </c>
      <c r="I282" s="16">
        <f t="shared" si="27"/>
        <v>0</v>
      </c>
      <c r="J282" s="16">
        <f>E282 * F282 * 2323.724579</f>
        <v>2323.7245790000002</v>
      </c>
      <c r="K282" s="16">
        <f>E282 * F282 * 812.491921999999</f>
        <v>812.49192199999902</v>
      </c>
      <c r="L282" s="23">
        <f t="shared" si="29"/>
        <v>5.4553029069999992</v>
      </c>
      <c r="M282" s="17">
        <f>SUM(G282:K282)</f>
        <v>5455.3029069999993</v>
      </c>
    </row>
    <row r="283" spans="1:13" ht="25.5">
      <c r="A283" s="11">
        <v>280</v>
      </c>
      <c r="B283" s="12" t="s">
        <v>684</v>
      </c>
      <c r="C283" s="13" t="s">
        <v>685</v>
      </c>
      <c r="D283" s="13" t="s">
        <v>679</v>
      </c>
      <c r="E283" s="14">
        <v>1</v>
      </c>
      <c r="F283" s="15">
        <v>1</v>
      </c>
      <c r="G283" s="16">
        <f>E283 * F283 * 591.603675</f>
        <v>591.60367499999995</v>
      </c>
      <c r="H283" s="16">
        <f t="shared" si="28"/>
        <v>0</v>
      </c>
      <c r="I283" s="16">
        <f t="shared" si="27"/>
        <v>0</v>
      </c>
      <c r="J283" s="16">
        <f>E283 * F283 * 592.786883</f>
        <v>592.78688299999999</v>
      </c>
      <c r="K283" s="16">
        <f>E283 * F283 * 207.268348</f>
        <v>207.268348</v>
      </c>
      <c r="L283" s="23">
        <f t="shared" si="29"/>
        <v>1.3916589060000002</v>
      </c>
      <c r="M283" s="17">
        <f>SUM(G283:K283)</f>
        <v>1391.6589060000001</v>
      </c>
    </row>
    <row r="284" spans="1:13">
      <c r="A284" s="11">
        <v>281</v>
      </c>
      <c r="B284" s="12" t="s">
        <v>686</v>
      </c>
      <c r="C284" s="13" t="s">
        <v>687</v>
      </c>
      <c r="D284" s="13" t="s">
        <v>688</v>
      </c>
      <c r="E284" s="14">
        <v>1</v>
      </c>
      <c r="F284" s="15">
        <v>1</v>
      </c>
      <c r="G284" s="16">
        <f>E284 * F284 * 496.947087</f>
        <v>496.94708700000001</v>
      </c>
      <c r="H284" s="16">
        <f t="shared" si="28"/>
        <v>0</v>
      </c>
      <c r="I284" s="16">
        <f t="shared" si="27"/>
        <v>0</v>
      </c>
      <c r="J284" s="16">
        <f>E284 * F284 * 497.940980999999</f>
        <v>497.940980999999</v>
      </c>
      <c r="K284" s="16">
        <f>E284 * F284 * 174.105412</f>
        <v>174.105412</v>
      </c>
      <c r="L284" s="23">
        <f t="shared" si="29"/>
        <v>1.1689934799999993</v>
      </c>
      <c r="M284" s="17">
        <f>SUM(G284:K284)</f>
        <v>1168.9934799999992</v>
      </c>
    </row>
    <row r="285" spans="1:13" ht="25.5">
      <c r="A285" s="11">
        <v>282</v>
      </c>
      <c r="B285" s="12" t="s">
        <v>689</v>
      </c>
      <c r="C285" s="13" t="s">
        <v>690</v>
      </c>
      <c r="D285" s="13" t="s">
        <v>679</v>
      </c>
      <c r="E285" s="14">
        <v>1</v>
      </c>
      <c r="F285" s="15">
        <v>1</v>
      </c>
      <c r="G285" s="16">
        <f>E285 * F285 * 324.198814</f>
        <v>324.19881400000003</v>
      </c>
      <c r="H285" s="16">
        <f t="shared" si="28"/>
        <v>0</v>
      </c>
      <c r="I285" s="16">
        <f t="shared" si="27"/>
        <v>0</v>
      </c>
      <c r="J285" s="16">
        <f>E285 * F285 * 324.847212</f>
        <v>324.84721200000001</v>
      </c>
      <c r="K285" s="16">
        <f>E285 * F285 * 113.583055</f>
        <v>113.583055</v>
      </c>
      <c r="L285" s="23">
        <f t="shared" si="29"/>
        <v>0.76262908100000004</v>
      </c>
      <c r="M285" s="17">
        <f>SUM(G285:K285)</f>
        <v>762.62908100000004</v>
      </c>
    </row>
    <row r="286" spans="1:13">
      <c r="A286" s="11">
        <v>283</v>
      </c>
      <c r="B286" s="12" t="s">
        <v>691</v>
      </c>
      <c r="C286" s="13" t="s">
        <v>692</v>
      </c>
      <c r="D286" s="13" t="s">
        <v>688</v>
      </c>
      <c r="E286" s="14">
        <v>1</v>
      </c>
      <c r="F286" s="15">
        <v>1</v>
      </c>
      <c r="G286" s="16">
        <f>E286 * F286 * 265.038446</f>
        <v>265.03844600000002</v>
      </c>
      <c r="H286" s="16">
        <f t="shared" si="28"/>
        <v>0</v>
      </c>
      <c r="I286" s="16">
        <f t="shared" si="27"/>
        <v>0</v>
      </c>
      <c r="J286" s="16">
        <f>E286 * F286 * 265.568523</f>
        <v>265.56852300000003</v>
      </c>
      <c r="K286" s="16">
        <f>E286 * F286 * 92.85622</f>
        <v>92.856219999999993</v>
      </c>
      <c r="L286" s="23">
        <f t="shared" si="29"/>
        <v>0.62346318900000008</v>
      </c>
      <c r="M286" s="17">
        <f>SUM(G286:K286)</f>
        <v>623.46318900000006</v>
      </c>
    </row>
    <row r="287" spans="1:13" ht="25.5">
      <c r="A287" s="11">
        <v>284</v>
      </c>
      <c r="B287" s="12" t="s">
        <v>693</v>
      </c>
      <c r="C287" s="13" t="s">
        <v>694</v>
      </c>
      <c r="D287" s="13" t="s">
        <v>679</v>
      </c>
      <c r="E287" s="14">
        <v>1</v>
      </c>
      <c r="F287" s="15">
        <v>1</v>
      </c>
      <c r="G287" s="16">
        <f>E287 * F287 * 946.56588</f>
        <v>946.56587999999999</v>
      </c>
      <c r="H287" s="16">
        <f t="shared" si="28"/>
        <v>0</v>
      </c>
      <c r="I287" s="16">
        <f t="shared" si="27"/>
        <v>0</v>
      </c>
      <c r="J287" s="16">
        <f>E287 * F287 * 948.459012</f>
        <v>948.45901200000003</v>
      </c>
      <c r="K287" s="16">
        <f>E287 * F287 * 331.629356</f>
        <v>331.62935599999997</v>
      </c>
      <c r="L287" s="23">
        <f t="shared" si="29"/>
        <v>2.226654248</v>
      </c>
      <c r="M287" s="17">
        <f>SUM(G287:K287)</f>
        <v>2226.6542479999998</v>
      </c>
    </row>
    <row r="288" spans="1:13" ht="25.5">
      <c r="A288" s="11">
        <v>285</v>
      </c>
      <c r="B288" s="12" t="s">
        <v>695</v>
      </c>
      <c r="C288" s="13" t="s">
        <v>696</v>
      </c>
      <c r="D288" s="13" t="s">
        <v>679</v>
      </c>
      <c r="E288" s="14">
        <v>1</v>
      </c>
      <c r="F288" s="15">
        <v>1</v>
      </c>
      <c r="G288" s="16">
        <f>E288 * F288 * 709.92441</f>
        <v>709.92440999999997</v>
      </c>
      <c r="H288" s="16">
        <f t="shared" si="28"/>
        <v>0</v>
      </c>
      <c r="I288" s="16">
        <f t="shared" si="27"/>
        <v>0</v>
      </c>
      <c r="J288" s="16">
        <f>E288 * F288 * 711.344259</f>
        <v>711.34425899999997</v>
      </c>
      <c r="K288" s="16">
        <f>E288 * F288 * 248.722017</f>
        <v>248.72201699999999</v>
      </c>
      <c r="L288" s="23">
        <f t="shared" si="29"/>
        <v>1.669990686</v>
      </c>
      <c r="M288" s="17">
        <f>SUM(G288:K288)</f>
        <v>1669.9906860000001</v>
      </c>
    </row>
    <row r="289" spans="1:13">
      <c r="A289" s="11">
        <v>286</v>
      </c>
      <c r="B289" s="12" t="s">
        <v>697</v>
      </c>
      <c r="C289" s="13" t="s">
        <v>698</v>
      </c>
      <c r="D289" s="13" t="s">
        <v>699</v>
      </c>
      <c r="E289" s="14">
        <v>1</v>
      </c>
      <c r="F289" s="15">
        <v>1</v>
      </c>
      <c r="G289" s="16">
        <f>E289 * F289 * 709.92441</f>
        <v>709.92440999999997</v>
      </c>
      <c r="H289" s="16">
        <f t="shared" si="28"/>
        <v>0</v>
      </c>
      <c r="I289" s="16">
        <f t="shared" si="27"/>
        <v>0</v>
      </c>
      <c r="J289" s="16">
        <f>E289 * F289 * 711.344259</f>
        <v>711.34425899999997</v>
      </c>
      <c r="K289" s="16">
        <f>E289 * F289 * 248.722017</f>
        <v>248.72201699999999</v>
      </c>
      <c r="L289" s="23">
        <f t="shared" si="29"/>
        <v>1.669990686</v>
      </c>
      <c r="M289" s="17">
        <f>SUM(G289:K289)</f>
        <v>1669.9906860000001</v>
      </c>
    </row>
    <row r="290" spans="1:13">
      <c r="A290" s="11">
        <v>287</v>
      </c>
      <c r="B290" s="12" t="s">
        <v>700</v>
      </c>
      <c r="C290" s="13" t="s">
        <v>701</v>
      </c>
      <c r="D290" s="13" t="s">
        <v>699</v>
      </c>
      <c r="E290" s="14">
        <v>1</v>
      </c>
      <c r="F290" s="15">
        <v>1</v>
      </c>
      <c r="G290" s="16">
        <f>E290 * F290 * 662.596116</f>
        <v>662.59611600000005</v>
      </c>
      <c r="H290" s="16">
        <f t="shared" si="28"/>
        <v>0</v>
      </c>
      <c r="I290" s="16">
        <f t="shared" si="27"/>
        <v>0</v>
      </c>
      <c r="J290" s="16">
        <f>E290 * F290 * 663.921308</f>
        <v>663.92130799999995</v>
      </c>
      <c r="K290" s="16">
        <f>E290 * F290 * 232.140549</f>
        <v>232.14054899999999</v>
      </c>
      <c r="L290" s="23">
        <f t="shared" si="29"/>
        <v>1.5586579730000001</v>
      </c>
      <c r="M290" s="17">
        <f>SUM(G290:K290)</f>
        <v>1558.6579730000001</v>
      </c>
    </row>
    <row r="291" spans="1:13" ht="25.5">
      <c r="A291" s="11">
        <v>288</v>
      </c>
      <c r="B291" s="12" t="s">
        <v>702</v>
      </c>
      <c r="C291" s="13" t="s">
        <v>703</v>
      </c>
      <c r="D291" s="13" t="s">
        <v>699</v>
      </c>
      <c r="E291" s="14">
        <v>1</v>
      </c>
      <c r="F291" s="15">
        <v>1</v>
      </c>
      <c r="G291" s="16">
        <f>E291 * F291 * 615.267822</f>
        <v>615.26782200000002</v>
      </c>
      <c r="H291" s="16">
        <f t="shared" si="28"/>
        <v>0</v>
      </c>
      <c r="I291" s="16">
        <f t="shared" si="27"/>
        <v>0</v>
      </c>
      <c r="J291" s="16">
        <f>E291 * F291 * 616.498356999999</f>
        <v>616.49835699999903</v>
      </c>
      <c r="K291" s="16">
        <f>E291 * F291 * 215.559081</f>
        <v>215.55908099999999</v>
      </c>
      <c r="L291" s="23">
        <f t="shared" si="29"/>
        <v>1.4473252599999991</v>
      </c>
      <c r="M291" s="17">
        <f>SUM(G291:K291)</f>
        <v>1447.3252599999992</v>
      </c>
    </row>
    <row r="292" spans="1:13" ht="25.5">
      <c r="A292" s="11">
        <v>289</v>
      </c>
      <c r="B292" s="12" t="s">
        <v>704</v>
      </c>
      <c r="C292" s="13" t="s">
        <v>705</v>
      </c>
      <c r="D292" s="13" t="s">
        <v>706</v>
      </c>
      <c r="E292" s="14">
        <v>1</v>
      </c>
      <c r="F292" s="15">
        <v>1</v>
      </c>
      <c r="G292" s="16">
        <f>E292 * F292 * 1060.153786</f>
        <v>1060.1537860000001</v>
      </c>
      <c r="H292" s="16">
        <f t="shared" si="28"/>
        <v>0</v>
      </c>
      <c r="I292" s="16">
        <f t="shared" si="27"/>
        <v>0</v>
      </c>
      <c r="J292" s="16">
        <f>E292 * F292 * 1062.274093</f>
        <v>1062.274093</v>
      </c>
      <c r="K292" s="16">
        <f>E292 * F292 * 371.424879</f>
        <v>371.42487899999998</v>
      </c>
      <c r="L292" s="23">
        <f t="shared" si="25"/>
        <v>24.938527579999999</v>
      </c>
      <c r="M292" s="17">
        <f>SUM(G292:K292)</f>
        <v>2493.852758</v>
      </c>
    </row>
    <row r="293" spans="1:13" ht="25.5">
      <c r="A293" s="11">
        <v>290</v>
      </c>
      <c r="B293" s="12" t="s">
        <v>707</v>
      </c>
      <c r="C293" s="13" t="s">
        <v>708</v>
      </c>
      <c r="D293" s="13" t="s">
        <v>709</v>
      </c>
      <c r="E293" s="14">
        <v>1</v>
      </c>
      <c r="F293" s="15">
        <v>1</v>
      </c>
      <c r="G293" s="16">
        <f>E293 * F293 * 1662</f>
        <v>1662</v>
      </c>
      <c r="H293" s="16">
        <f t="shared" si="28"/>
        <v>0</v>
      </c>
      <c r="I293" s="16">
        <f t="shared" si="27"/>
        <v>0</v>
      </c>
      <c r="J293" s="16">
        <f>E293 * F293 * 1665.324</f>
        <v>1665.3240000000001</v>
      </c>
      <c r="K293" s="16">
        <f>E293 * F293 * 582.2817</f>
        <v>582.2817</v>
      </c>
      <c r="L293" s="23">
        <f t="shared" si="25"/>
        <v>39.096057000000002</v>
      </c>
      <c r="M293" s="17">
        <f>SUM(G293:K293)</f>
        <v>3909.6057000000001</v>
      </c>
    </row>
    <row r="294" spans="1:13">
      <c r="A294" s="11">
        <v>291</v>
      </c>
      <c r="B294" s="12" t="s">
        <v>710</v>
      </c>
      <c r="C294" s="13" t="s">
        <v>711</v>
      </c>
      <c r="D294" s="13" t="s">
        <v>712</v>
      </c>
      <c r="E294" s="14">
        <v>1</v>
      </c>
      <c r="F294" s="15">
        <v>1</v>
      </c>
      <c r="G294" s="16">
        <f>E294 * F294 * 24.099</f>
        <v>24.099</v>
      </c>
      <c r="H294" s="16">
        <f t="shared" si="28"/>
        <v>0</v>
      </c>
      <c r="I294" s="16">
        <f t="shared" si="27"/>
        <v>0</v>
      </c>
      <c r="J294" s="16">
        <f>E294 * F294 * 24.147198</f>
        <v>24.147197999999999</v>
      </c>
      <c r="K294" s="16">
        <f>E294 * F294 * 8.443085</f>
        <v>8.443085</v>
      </c>
      <c r="L294" s="23">
        <f t="shared" si="25"/>
        <v>0.56689283000000001</v>
      </c>
      <c r="M294" s="17">
        <f>SUM(G294:K294)</f>
        <v>56.689283000000003</v>
      </c>
    </row>
    <row r="295" spans="1:13" ht="38.25">
      <c r="A295" s="11">
        <v>292</v>
      </c>
      <c r="B295" s="12" t="s">
        <v>713</v>
      </c>
      <c r="C295" s="13" t="s">
        <v>714</v>
      </c>
      <c r="D295" s="13" t="s">
        <v>715</v>
      </c>
      <c r="E295" s="14">
        <v>1</v>
      </c>
      <c r="F295" s="15">
        <v>1</v>
      </c>
      <c r="G295" s="16">
        <f>E295 * F295 * 7425.045855</f>
        <v>7425.0458550000003</v>
      </c>
      <c r="H295" s="16">
        <f>E295 * F295 * 877.787123</f>
        <v>877.78712299999995</v>
      </c>
      <c r="I295" s="16">
        <f t="shared" si="27"/>
        <v>0</v>
      </c>
      <c r="J295" s="16">
        <f>E295 * F295 * 7439.895947</f>
        <v>7439.895947</v>
      </c>
      <c r="K295" s="16">
        <f>E295 * F295 * 2754.97756099999</f>
        <v>2754.9775609999901</v>
      </c>
      <c r="L295" s="23">
        <f t="shared" si="25"/>
        <v>184.97706485999987</v>
      </c>
      <c r="M295" s="17">
        <f>SUM(G295:K295)</f>
        <v>18497.706485999988</v>
      </c>
    </row>
    <row r="296" spans="1:13" ht="25.5">
      <c r="A296" s="11">
        <v>293</v>
      </c>
      <c r="B296" s="12" t="s">
        <v>716</v>
      </c>
      <c r="C296" s="13" t="s">
        <v>717</v>
      </c>
      <c r="D296" s="13" t="s">
        <v>679</v>
      </c>
      <c r="E296" s="14">
        <v>1</v>
      </c>
      <c r="F296" s="15">
        <v>1</v>
      </c>
      <c r="G296" s="16">
        <f>E296 * F296 * 880.327476</f>
        <v>880.32747600000005</v>
      </c>
      <c r="H296" s="16">
        <f>E296 * F296 * 0</f>
        <v>0</v>
      </c>
      <c r="I296" s="16">
        <f t="shared" si="27"/>
        <v>0</v>
      </c>
      <c r="J296" s="16">
        <f>E296 * F296 * 882.088131</f>
        <v>882.08813099999998</v>
      </c>
      <c r="K296" s="16">
        <f>E296 * F296 * 308.422732</f>
        <v>308.422732</v>
      </c>
      <c r="L296" s="23">
        <f>M296/E296/F296/1000</f>
        <v>2.0708383389999998</v>
      </c>
      <c r="M296" s="17">
        <f>SUM(G296:K296)</f>
        <v>2070.8383389999999</v>
      </c>
    </row>
    <row r="297" spans="1:13" ht="25.5">
      <c r="A297" s="11">
        <v>294</v>
      </c>
      <c r="B297" s="12" t="s">
        <v>718</v>
      </c>
      <c r="C297" s="13" t="s">
        <v>719</v>
      </c>
      <c r="D297" s="13" t="s">
        <v>720</v>
      </c>
      <c r="E297" s="14">
        <v>1</v>
      </c>
      <c r="F297" s="15">
        <v>1</v>
      </c>
      <c r="G297" s="16">
        <f>E297 * F297 * 701.91</f>
        <v>701.91</v>
      </c>
      <c r="H297" s="16">
        <f>E297 * F297 * 0</f>
        <v>0</v>
      </c>
      <c r="I297" s="16">
        <f t="shared" si="27"/>
        <v>0</v>
      </c>
      <c r="J297" s="16">
        <f>E297 * F297 * 703.31382</f>
        <v>703.31381999999996</v>
      </c>
      <c r="K297" s="16">
        <f>E297 * F297 * 245.914169</f>
        <v>245.91416899999999</v>
      </c>
      <c r="L297" s="23">
        <f t="shared" si="25"/>
        <v>16.511379889999997</v>
      </c>
      <c r="M297" s="17">
        <f>SUM(G297:K297)</f>
        <v>1651.1379889999998</v>
      </c>
    </row>
    <row r="298" spans="1:13">
      <c r="A298" s="11">
        <v>295</v>
      </c>
      <c r="B298" s="12" t="s">
        <v>721</v>
      </c>
      <c r="C298" s="13" t="s">
        <v>722</v>
      </c>
      <c r="D298" s="13" t="s">
        <v>723</v>
      </c>
      <c r="E298" s="14">
        <v>1</v>
      </c>
      <c r="F298" s="15">
        <v>1</v>
      </c>
      <c r="G298" s="16">
        <f>E298 * F298 * 38.995</f>
        <v>38.994999999999997</v>
      </c>
      <c r="H298" s="16">
        <f>E298 * F298 * 0</f>
        <v>0</v>
      </c>
      <c r="I298" s="16">
        <f t="shared" si="27"/>
        <v>0</v>
      </c>
      <c r="J298" s="16">
        <f>E298 * F298 * 39.07299</f>
        <v>39.072989999999997</v>
      </c>
      <c r="K298" s="16">
        <f>E298 * F298 * 13.661898</f>
        <v>13.661898000000001</v>
      </c>
      <c r="L298" s="23">
        <f>M298/E298/F298</f>
        <v>91.729887999999988</v>
      </c>
      <c r="M298" s="17">
        <f>SUM(G298:K298)</f>
        <v>91.729887999999988</v>
      </c>
    </row>
    <row r="299" spans="1:13">
      <c r="A299" s="11">
        <v>296</v>
      </c>
      <c r="B299" s="12" t="s">
        <v>724</v>
      </c>
      <c r="C299" s="13" t="s">
        <v>725</v>
      </c>
      <c r="D299" s="13" t="s">
        <v>144</v>
      </c>
      <c r="E299" s="14">
        <v>1</v>
      </c>
      <c r="F299" s="15">
        <v>1</v>
      </c>
      <c r="G299" s="16">
        <f>E299 * F299 * 1048.0089</f>
        <v>1048.0089</v>
      </c>
      <c r="H299" s="16">
        <f>E299 * F299 * 832.082328</f>
        <v>832.08232799999996</v>
      </c>
      <c r="I299" s="16">
        <f t="shared" si="27"/>
        <v>0</v>
      </c>
      <c r="J299" s="16">
        <f>E299 * F299 * 1050.104918</f>
        <v>1050.104918</v>
      </c>
      <c r="K299" s="16">
        <f>E299 * F299 * 512.784326</f>
        <v>512.78432599999996</v>
      </c>
      <c r="L299" s="23">
        <f t="shared" si="25"/>
        <v>34.42980472</v>
      </c>
      <c r="M299" s="17">
        <f>SUM(G299:K299)</f>
        <v>3442.9804720000002</v>
      </c>
    </row>
    <row r="300" spans="1:13">
      <c r="A300" s="11">
        <v>297</v>
      </c>
      <c r="B300" s="12" t="s">
        <v>726</v>
      </c>
      <c r="C300" s="13" t="s">
        <v>727</v>
      </c>
      <c r="D300" s="13" t="s">
        <v>144</v>
      </c>
      <c r="E300" s="14">
        <v>1</v>
      </c>
      <c r="F300" s="15">
        <v>1</v>
      </c>
      <c r="G300" s="16">
        <f>E300 * F300 * 419.20356</f>
        <v>419.20355999999998</v>
      </c>
      <c r="H300" s="16">
        <f t="shared" ref="H300:H305" si="30">E300 * F300 * 0</f>
        <v>0</v>
      </c>
      <c r="I300" s="16">
        <f t="shared" si="27"/>
        <v>0</v>
      </c>
      <c r="J300" s="16">
        <f>E300 * F300 * 420.041967</f>
        <v>420.041967</v>
      </c>
      <c r="K300" s="16">
        <f>E300 * F300 * 146.867968</f>
        <v>146.86796799999999</v>
      </c>
      <c r="L300" s="23">
        <f t="shared" si="25"/>
        <v>9.8611349500000003</v>
      </c>
      <c r="M300" s="17">
        <f>SUM(G300:K300)</f>
        <v>986.11349500000006</v>
      </c>
    </row>
    <row r="301" spans="1:13">
      <c r="A301" s="11">
        <v>298</v>
      </c>
      <c r="B301" s="12" t="s">
        <v>728</v>
      </c>
      <c r="C301" s="13" t="s">
        <v>729</v>
      </c>
      <c r="D301" s="13" t="s">
        <v>730</v>
      </c>
      <c r="E301" s="14">
        <v>1</v>
      </c>
      <c r="F301" s="15">
        <v>1</v>
      </c>
      <c r="G301" s="16">
        <f>E301 * F301 * 19.757466</f>
        <v>19.757466000000001</v>
      </c>
      <c r="H301" s="16">
        <f t="shared" si="30"/>
        <v>0</v>
      </c>
      <c r="I301" s="16">
        <f t="shared" si="27"/>
        <v>0</v>
      </c>
      <c r="J301" s="16">
        <f>E301 * F301 * 19.796981</f>
        <v>19.796980999999999</v>
      </c>
      <c r="K301" s="16">
        <f>E301 * F301 * 6.922029</f>
        <v>6.9220290000000002</v>
      </c>
      <c r="L301" s="23">
        <f>M301/E301/F301</f>
        <v>46.476475999999998</v>
      </c>
      <c r="M301" s="17">
        <f>SUM(G301:K301)</f>
        <v>46.476475999999998</v>
      </c>
    </row>
    <row r="302" spans="1:13" ht="25.5">
      <c r="A302" s="11">
        <v>299</v>
      </c>
      <c r="B302" s="12" t="s">
        <v>731</v>
      </c>
      <c r="C302" s="13" t="s">
        <v>732</v>
      </c>
      <c r="D302" s="13" t="s">
        <v>679</v>
      </c>
      <c r="E302" s="14">
        <v>1</v>
      </c>
      <c r="F302" s="15">
        <v>1</v>
      </c>
      <c r="G302" s="16">
        <f>E302 * F302 * 277</f>
        <v>277</v>
      </c>
      <c r="H302" s="16">
        <f t="shared" si="30"/>
        <v>0</v>
      </c>
      <c r="I302" s="16">
        <f t="shared" si="27"/>
        <v>0</v>
      </c>
      <c r="J302" s="16">
        <f>E302 * F302 * 277.554</f>
        <v>277.55399999999997</v>
      </c>
      <c r="K302" s="16">
        <f>E302 * F302 * 97.04695</f>
        <v>97.046949999999995</v>
      </c>
      <c r="L302" s="23">
        <f>M302/E302/F302/1000</f>
        <v>0.65160094999999996</v>
      </c>
      <c r="M302" s="17">
        <f>SUM(G302:K302)</f>
        <v>651.60095000000001</v>
      </c>
    </row>
    <row r="303" spans="1:13" ht="38.25">
      <c r="A303" s="11">
        <v>300</v>
      </c>
      <c r="B303" s="12" t="s">
        <v>733</v>
      </c>
      <c r="C303" s="13" t="s">
        <v>734</v>
      </c>
      <c r="D303" s="13" t="s">
        <v>735</v>
      </c>
      <c r="E303" s="14">
        <v>1</v>
      </c>
      <c r="F303" s="15">
        <v>1</v>
      </c>
      <c r="G303" s="16">
        <f>E303 * F303 * 110.8</f>
        <v>110.8</v>
      </c>
      <c r="H303" s="16">
        <f t="shared" si="30"/>
        <v>0</v>
      </c>
      <c r="I303" s="16">
        <f t="shared" si="27"/>
        <v>0</v>
      </c>
      <c r="J303" s="16">
        <f>E303 * F303 * 111.0216</f>
        <v>111.02160000000001</v>
      </c>
      <c r="K303" s="16">
        <f>E303 * F303 * 38.81878</f>
        <v>38.818779999999997</v>
      </c>
      <c r="L303" s="23">
        <f>M303/E303/F303/1000</f>
        <v>0.26064038</v>
      </c>
      <c r="M303" s="17">
        <f>SUM(G303:K303)</f>
        <v>260.64037999999999</v>
      </c>
    </row>
    <row r="304" spans="1:13">
      <c r="A304" s="11">
        <v>301</v>
      </c>
      <c r="B304" s="12" t="s">
        <v>736</v>
      </c>
      <c r="C304" s="13" t="s">
        <v>737</v>
      </c>
      <c r="D304" s="13" t="s">
        <v>738</v>
      </c>
      <c r="E304" s="14">
        <v>1</v>
      </c>
      <c r="F304" s="15">
        <v>1</v>
      </c>
      <c r="G304" s="16">
        <f>E304 * F304 * 838.40712</f>
        <v>838.40711999999996</v>
      </c>
      <c r="H304" s="16">
        <f t="shared" si="30"/>
        <v>0</v>
      </c>
      <c r="I304" s="16">
        <f t="shared" si="27"/>
        <v>0</v>
      </c>
      <c r="J304" s="16">
        <f>E304 * F304 * 840.083934</f>
        <v>840.083934</v>
      </c>
      <c r="K304" s="16">
        <f>E304 * F304 * 293.735934</f>
        <v>293.73593399999999</v>
      </c>
      <c r="L304" s="23">
        <f>M304/E304/F304</f>
        <v>1972.2269880000001</v>
      </c>
      <c r="M304" s="17">
        <f>SUM(G304:K304)</f>
        <v>1972.2269880000001</v>
      </c>
    </row>
    <row r="305" spans="1:13" ht="25.5">
      <c r="A305" s="11">
        <v>302</v>
      </c>
      <c r="B305" s="12" t="s">
        <v>739</v>
      </c>
      <c r="C305" s="13" t="s">
        <v>740</v>
      </c>
      <c r="D305" s="13" t="s">
        <v>342</v>
      </c>
      <c r="E305" s="14">
        <v>1</v>
      </c>
      <c r="F305" s="15">
        <v>1</v>
      </c>
      <c r="G305" s="16">
        <f>E305 * F305 * 879.673575</f>
        <v>879.67357500000003</v>
      </c>
      <c r="H305" s="16">
        <f t="shared" si="30"/>
        <v>0</v>
      </c>
      <c r="I305" s="16">
        <f>E305 * F305 * 98.013825</f>
        <v>98.013824999999997</v>
      </c>
      <c r="J305" s="16">
        <f>E305 * F305 * 881.432923</f>
        <v>881.43292299999996</v>
      </c>
      <c r="K305" s="16">
        <f>E305 * F305 * 325.346056</f>
        <v>325.34605599999998</v>
      </c>
      <c r="L305" s="23">
        <f t="shared" si="25"/>
        <v>21.844663789999998</v>
      </c>
      <c r="M305" s="17">
        <f>SUM(G305:K305)</f>
        <v>2184.466379</v>
      </c>
    </row>
    <row r="306" spans="1:13" ht="25.5">
      <c r="A306" s="11">
        <v>303</v>
      </c>
      <c r="B306" s="12" t="s">
        <v>741</v>
      </c>
      <c r="C306" s="13" t="s">
        <v>742</v>
      </c>
      <c r="D306" s="13" t="s">
        <v>342</v>
      </c>
      <c r="E306" s="14">
        <v>1</v>
      </c>
      <c r="F306" s="15">
        <v>1</v>
      </c>
      <c r="G306" s="16">
        <f>E306 * F306 * 823.694347</f>
        <v>823.69434699999999</v>
      </c>
      <c r="H306" s="16">
        <f>E306 * F306 * 10.726598</f>
        <v>10.726597999999999</v>
      </c>
      <c r="I306" s="16">
        <f>E306 * F306 * 0</f>
        <v>0</v>
      </c>
      <c r="J306" s="16">
        <f>E306 * F306 * 825.341736</f>
        <v>825.34173599999997</v>
      </c>
      <c r="K306" s="16">
        <f>E306 * F306 * 290.458469</f>
        <v>290.45846899999998</v>
      </c>
      <c r="L306" s="23">
        <f t="shared" si="25"/>
        <v>19.502211499999998</v>
      </c>
      <c r="M306" s="17">
        <f>SUM(G306:K306)</f>
        <v>1950.2211499999999</v>
      </c>
    </row>
    <row r="307" spans="1:13" ht="25.5">
      <c r="A307" s="11">
        <v>304</v>
      </c>
      <c r="B307" s="12" t="s">
        <v>743</v>
      </c>
      <c r="C307" s="13" t="s">
        <v>744</v>
      </c>
      <c r="D307" s="13" t="s">
        <v>342</v>
      </c>
      <c r="E307" s="14">
        <v>1</v>
      </c>
      <c r="F307" s="15">
        <v>1</v>
      </c>
      <c r="G307" s="16">
        <f>E307 * F307 * 346.538072</f>
        <v>346.538072</v>
      </c>
      <c r="H307" s="16">
        <f>E307 * F307 * 0</f>
        <v>0</v>
      </c>
      <c r="I307" s="16">
        <f>E307 * F307 * 98.013825</f>
        <v>98.013824999999997</v>
      </c>
      <c r="J307" s="16">
        <f>E307 * F307 * 347.231148</f>
        <v>347.23114800000002</v>
      </c>
      <c r="K307" s="16">
        <f>E307 * F307 * 138.562032999999</f>
        <v>138.56203299999899</v>
      </c>
      <c r="L307" s="23">
        <f t="shared" si="25"/>
        <v>9.3034507799999897</v>
      </c>
      <c r="M307" s="17">
        <f>SUM(G307:K307)</f>
        <v>930.34507799999903</v>
      </c>
    </row>
    <row r="308" spans="1:13" ht="25.5">
      <c r="A308" s="11">
        <v>305</v>
      </c>
      <c r="B308" s="12" t="s">
        <v>745</v>
      </c>
      <c r="C308" s="13" t="s">
        <v>746</v>
      </c>
      <c r="D308" s="13" t="s">
        <v>342</v>
      </c>
      <c r="E308" s="14">
        <v>1</v>
      </c>
      <c r="F308" s="15">
        <v>1</v>
      </c>
      <c r="G308" s="16">
        <f>E308 * F308 * 25.152214</f>
        <v>25.152214000000001</v>
      </c>
      <c r="H308" s="16">
        <f>E308 * F308 * 0</f>
        <v>0</v>
      </c>
      <c r="I308" s="16">
        <f t="shared" ref="I308:I339" si="31">E308 * F308 * 0</f>
        <v>0</v>
      </c>
      <c r="J308" s="16">
        <f>E308 * F308 * 25.202519</f>
        <v>25.202518999999999</v>
      </c>
      <c r="K308" s="16">
        <f>E308 * F308 * 8.812078</f>
        <v>8.8120779999999996</v>
      </c>
      <c r="L308" s="23">
        <f t="shared" si="25"/>
        <v>0.59166810999999997</v>
      </c>
      <c r="M308" s="17">
        <f>SUM(G308:K308)</f>
        <v>59.166810999999996</v>
      </c>
    </row>
    <row r="309" spans="1:13" ht="25.5">
      <c r="A309" s="11">
        <v>306</v>
      </c>
      <c r="B309" s="12" t="s">
        <v>747</v>
      </c>
      <c r="C309" s="13" t="s">
        <v>748</v>
      </c>
      <c r="D309" s="13" t="s">
        <v>749</v>
      </c>
      <c r="E309" s="14">
        <v>1</v>
      </c>
      <c r="F309" s="15">
        <v>1</v>
      </c>
      <c r="G309" s="16">
        <f>E309 * F309 * 103.226274</f>
        <v>103.226274</v>
      </c>
      <c r="H309" s="16">
        <f>E309 * F309 * 0</f>
        <v>0</v>
      </c>
      <c r="I309" s="16">
        <f t="shared" si="31"/>
        <v>0</v>
      </c>
      <c r="J309" s="16">
        <f>E309 * F309 * 103.432727</f>
        <v>103.432727</v>
      </c>
      <c r="K309" s="16">
        <f>E309 * F309 * 36.165325</f>
        <v>36.165325000000003</v>
      </c>
      <c r="L309" s="23">
        <f>M309/E309/F309/10</f>
        <v>24.2824326</v>
      </c>
      <c r="M309" s="17">
        <f>SUM(G309:K309)</f>
        <v>242.82432599999999</v>
      </c>
    </row>
    <row r="310" spans="1:13" ht="25.5">
      <c r="A310" s="11">
        <v>307</v>
      </c>
      <c r="B310" s="12" t="s">
        <v>750</v>
      </c>
      <c r="C310" s="13" t="s">
        <v>751</v>
      </c>
      <c r="D310" s="13" t="s">
        <v>421</v>
      </c>
      <c r="E310" s="14">
        <v>1</v>
      </c>
      <c r="F310" s="15">
        <v>1</v>
      </c>
      <c r="G310" s="16">
        <f>E310 * F310 * 10060.88544</f>
        <v>10060.88544</v>
      </c>
      <c r="H310" s="16">
        <f>E310 * F310 * 277.714374</f>
        <v>277.71437400000002</v>
      </c>
      <c r="I310" s="16">
        <f t="shared" si="31"/>
        <v>0</v>
      </c>
      <c r="J310" s="16">
        <f>E310 * F310 * 10081.007211</f>
        <v>10081.007211</v>
      </c>
      <c r="K310" s="16">
        <f>E310 * F310 * 3573.431229</f>
        <v>3573.4312289999998</v>
      </c>
      <c r="L310" s="23">
        <f t="shared" si="25"/>
        <v>239.93038253999998</v>
      </c>
      <c r="M310" s="17">
        <f>SUM(G310:K310)</f>
        <v>23993.038253999999</v>
      </c>
    </row>
    <row r="311" spans="1:13" ht="25.5">
      <c r="A311" s="11">
        <v>308</v>
      </c>
      <c r="B311" s="12" t="s">
        <v>752</v>
      </c>
      <c r="C311" s="13" t="s">
        <v>753</v>
      </c>
      <c r="D311" s="13" t="s">
        <v>421</v>
      </c>
      <c r="E311" s="14">
        <v>1</v>
      </c>
      <c r="F311" s="15">
        <v>1</v>
      </c>
      <c r="G311" s="16">
        <f>E311 * F311 * 15091.32816</f>
        <v>15091.328159999999</v>
      </c>
      <c r="H311" s="16">
        <f>E311 * F311 * 452.48972</f>
        <v>452.48971999999998</v>
      </c>
      <c r="I311" s="16">
        <f t="shared" si="31"/>
        <v>0</v>
      </c>
      <c r="J311" s="16">
        <f>E311 * F311 * 15121.5108159999</f>
        <v>15121.5108159999</v>
      </c>
      <c r="K311" s="16">
        <f>E311 * F311 * 5366.432522</f>
        <v>5366.4325220000001</v>
      </c>
      <c r="L311" s="23">
        <f t="shared" si="25"/>
        <v>360.317612179999</v>
      </c>
      <c r="M311" s="17">
        <f>SUM(G311:K311)</f>
        <v>36031.761217999898</v>
      </c>
    </row>
    <row r="312" spans="1:13" ht="25.5">
      <c r="A312" s="11">
        <v>309</v>
      </c>
      <c r="B312" s="12" t="s">
        <v>754</v>
      </c>
      <c r="C312" s="13" t="s">
        <v>755</v>
      </c>
      <c r="D312" s="13" t="s">
        <v>421</v>
      </c>
      <c r="E312" s="14">
        <v>1</v>
      </c>
      <c r="F312" s="15">
        <v>1</v>
      </c>
      <c r="G312" s="16">
        <f>E312 * F312 * 15091.32816</f>
        <v>15091.328159999999</v>
      </c>
      <c r="H312" s="16">
        <f>E312 * F312 * 713.448877</f>
        <v>713.44887700000004</v>
      </c>
      <c r="I312" s="16">
        <f t="shared" si="31"/>
        <v>0</v>
      </c>
      <c r="J312" s="16">
        <f>E312 * F312 * 15121.5108159999</f>
        <v>15121.5108159999</v>
      </c>
      <c r="K312" s="16">
        <f>E312 * F312 * 5412.100374</f>
        <v>5412.1003739999996</v>
      </c>
      <c r="L312" s="23">
        <f t="shared" si="25"/>
        <v>363.38388226999899</v>
      </c>
      <c r="M312" s="17">
        <f>SUM(G312:K312)</f>
        <v>36338.388226999901</v>
      </c>
    </row>
    <row r="313" spans="1:13" ht="25.5">
      <c r="A313" s="11">
        <v>310</v>
      </c>
      <c r="B313" s="12" t="s">
        <v>756</v>
      </c>
      <c r="C313" s="13" t="s">
        <v>757</v>
      </c>
      <c r="D313" s="13" t="s">
        <v>428</v>
      </c>
      <c r="E313" s="14">
        <v>1</v>
      </c>
      <c r="F313" s="15">
        <v>1</v>
      </c>
      <c r="G313" s="16">
        <f>E313 * F313 * 5449.64628</f>
        <v>5449.6462799999999</v>
      </c>
      <c r="H313" s="16">
        <f>E313 * F313 * 227.448723</f>
        <v>227.448723</v>
      </c>
      <c r="I313" s="16">
        <f t="shared" si="31"/>
        <v>0</v>
      </c>
      <c r="J313" s="16">
        <f>E313 * F313 * 5460.54557299999</f>
        <v>5460.5455729999903</v>
      </c>
      <c r="K313" s="16">
        <f>E313 * F313 * 1949.087101</f>
        <v>1949.0871010000001</v>
      </c>
      <c r="L313" s="23">
        <f t="shared" si="25"/>
        <v>130.8672767699999</v>
      </c>
      <c r="M313" s="17">
        <f>SUM(G313:K313)</f>
        <v>13086.727676999992</v>
      </c>
    </row>
    <row r="314" spans="1:13" ht="25.5">
      <c r="A314" s="11">
        <v>311</v>
      </c>
      <c r="B314" s="12" t="s">
        <v>758</v>
      </c>
      <c r="C314" s="13" t="s">
        <v>759</v>
      </c>
      <c r="D314" s="13" t="s">
        <v>428</v>
      </c>
      <c r="E314" s="14">
        <v>1</v>
      </c>
      <c r="F314" s="15">
        <v>1</v>
      </c>
      <c r="G314" s="16">
        <f>E314 * F314 * 8174.46942</f>
        <v>8174.4694200000004</v>
      </c>
      <c r="H314" s="16">
        <f>E314 * F314 * 260.959157</f>
        <v>260.959157</v>
      </c>
      <c r="I314" s="16">
        <f t="shared" si="31"/>
        <v>0</v>
      </c>
      <c r="J314" s="16">
        <f>E314 * F314 * 8190.818359</f>
        <v>8190.8183589999999</v>
      </c>
      <c r="K314" s="16">
        <f>E314 * F314 * 2909.593214</f>
        <v>2909.593214</v>
      </c>
      <c r="L314" s="23">
        <f t="shared" si="25"/>
        <v>195.35840150000001</v>
      </c>
      <c r="M314" s="17">
        <f>SUM(G314:K314)</f>
        <v>19535.84015</v>
      </c>
    </row>
    <row r="315" spans="1:13" ht="25.5">
      <c r="A315" s="11">
        <v>312</v>
      </c>
      <c r="B315" s="12" t="s">
        <v>760</v>
      </c>
      <c r="C315" s="13" t="s">
        <v>761</v>
      </c>
      <c r="D315" s="13" t="s">
        <v>428</v>
      </c>
      <c r="E315" s="14">
        <v>1</v>
      </c>
      <c r="F315" s="15">
        <v>1</v>
      </c>
      <c r="G315" s="16">
        <f>E315 * F315 * 8174.46942</f>
        <v>8174.4694200000004</v>
      </c>
      <c r="H315" s="16">
        <f>E315 * F315 * 524.326039</f>
        <v>524.32603900000004</v>
      </c>
      <c r="I315" s="16">
        <f t="shared" si="31"/>
        <v>0</v>
      </c>
      <c r="J315" s="16">
        <f>E315 * F315 * 8190.818359</f>
        <v>8190.8183589999999</v>
      </c>
      <c r="K315" s="16">
        <f>E315 * F315 * 2955.682418</f>
        <v>2955.6824179999999</v>
      </c>
      <c r="L315" s="23">
        <f t="shared" si="25"/>
        <v>198.45296236000001</v>
      </c>
      <c r="M315" s="17">
        <f>SUM(G315:K315)</f>
        <v>19845.296236000002</v>
      </c>
    </row>
    <row r="316" spans="1:13" ht="25.5">
      <c r="A316" s="11">
        <v>313</v>
      </c>
      <c r="B316" s="12" t="s">
        <v>762</v>
      </c>
      <c r="C316" s="13" t="s">
        <v>763</v>
      </c>
      <c r="D316" s="13" t="s">
        <v>764</v>
      </c>
      <c r="E316" s="14">
        <v>1</v>
      </c>
      <c r="F316" s="15">
        <v>1</v>
      </c>
      <c r="G316" s="16">
        <f>E316 * F316 * 33.536285</f>
        <v>33.536284999999999</v>
      </c>
      <c r="H316" s="16">
        <f>E316 * F316 * 72.022968</f>
        <v>72.022968000000006</v>
      </c>
      <c r="I316" s="16">
        <f t="shared" si="31"/>
        <v>0</v>
      </c>
      <c r="J316" s="16">
        <f>E316 * F316 * 33.603358</f>
        <v>33.603358</v>
      </c>
      <c r="K316" s="16">
        <f>E316 * F316 * 24.353457</f>
        <v>24.353456999999999</v>
      </c>
      <c r="L316" s="23">
        <f>M316/E316/F316</f>
        <v>163.51606800000002</v>
      </c>
      <c r="M316" s="17">
        <f>SUM(G316:K316)</f>
        <v>163.51606800000002</v>
      </c>
    </row>
    <row r="317" spans="1:13">
      <c r="A317" s="11">
        <v>314</v>
      </c>
      <c r="B317" s="12" t="s">
        <v>765</v>
      </c>
      <c r="C317" s="13" t="s">
        <v>766</v>
      </c>
      <c r="D317" s="13" t="s">
        <v>767</v>
      </c>
      <c r="E317" s="14">
        <v>1</v>
      </c>
      <c r="F317" s="15">
        <v>1</v>
      </c>
      <c r="G317" s="16">
        <f>E317 * F317 * 858.7</f>
        <v>858.7</v>
      </c>
      <c r="H317" s="16">
        <f>E317 * F317 * 926.167813</f>
        <v>926.16781300000002</v>
      </c>
      <c r="I317" s="16">
        <f t="shared" si="31"/>
        <v>0</v>
      </c>
      <c r="J317" s="16">
        <f>E317 * F317 * 860.4174</f>
        <v>860.41740000000004</v>
      </c>
      <c r="K317" s="16">
        <f>E317 * F317 * 462.924912</f>
        <v>462.92491200000001</v>
      </c>
      <c r="L317" s="23">
        <f t="shared" si="25"/>
        <v>31.082101250000001</v>
      </c>
      <c r="M317" s="17">
        <f>SUM(G317:K317)</f>
        <v>3108.2101250000001</v>
      </c>
    </row>
    <row r="318" spans="1:13" ht="25.5">
      <c r="A318" s="11">
        <v>315</v>
      </c>
      <c r="B318" s="12" t="s">
        <v>768</v>
      </c>
      <c r="C318" s="13" t="s">
        <v>769</v>
      </c>
      <c r="D318" s="13" t="s">
        <v>369</v>
      </c>
      <c r="E318" s="14">
        <v>1</v>
      </c>
      <c r="F318" s="15">
        <v>1</v>
      </c>
      <c r="G318" s="16">
        <f>E318 * F318 * 6583.5615</f>
        <v>6583.5614999999998</v>
      </c>
      <c r="H318" s="16">
        <f>E318 * F318 * 21685.599176</f>
        <v>21685.599176</v>
      </c>
      <c r="I318" s="16">
        <f t="shared" si="31"/>
        <v>0</v>
      </c>
      <c r="J318" s="16">
        <f>E318 * F318 * 6596.728623</f>
        <v>6596.728623</v>
      </c>
      <c r="K318" s="16">
        <f>E318 * F318 * 6101.530627</f>
        <v>6101.5306270000001</v>
      </c>
      <c r="L318" s="23">
        <f t="shared" si="25"/>
        <v>409.67419926000002</v>
      </c>
      <c r="M318" s="17">
        <f>SUM(G318:K318)</f>
        <v>40967.419926000002</v>
      </c>
    </row>
    <row r="319" spans="1:13">
      <c r="A319" s="11">
        <v>316</v>
      </c>
      <c r="B319" s="12" t="s">
        <v>770</v>
      </c>
      <c r="C319" s="13" t="s">
        <v>771</v>
      </c>
      <c r="D319" s="13" t="s">
        <v>369</v>
      </c>
      <c r="E319" s="14">
        <v>1</v>
      </c>
      <c r="F319" s="15">
        <v>1</v>
      </c>
      <c r="G319" s="16">
        <f>E319 * F319 * 0</f>
        <v>0</v>
      </c>
      <c r="H319" s="16">
        <f>E319 * F319 * 11110.45738</f>
        <v>11110.45738</v>
      </c>
      <c r="I319" s="16">
        <f t="shared" si="31"/>
        <v>0</v>
      </c>
      <c r="J319" s="16">
        <f>E319 * F319 * 0</f>
        <v>0</v>
      </c>
      <c r="K319" s="16">
        <f>E319 * F319 * 1944.330042</f>
        <v>1944.330042</v>
      </c>
      <c r="L319" s="23">
        <f t="shared" si="25"/>
        <v>130.54787421999998</v>
      </c>
      <c r="M319" s="17">
        <f>SUM(G319:K319)</f>
        <v>13054.787421999999</v>
      </c>
    </row>
    <row r="320" spans="1:13" ht="25.5">
      <c r="A320" s="11">
        <v>317</v>
      </c>
      <c r="B320" s="12" t="s">
        <v>772</v>
      </c>
      <c r="C320" s="13" t="s">
        <v>773</v>
      </c>
      <c r="D320" s="13" t="s">
        <v>774</v>
      </c>
      <c r="E320" s="14">
        <v>1</v>
      </c>
      <c r="F320" s="15">
        <v>1</v>
      </c>
      <c r="G320" s="16">
        <f>E320 * F320 * 11737.69968</f>
        <v>11737.69968</v>
      </c>
      <c r="H320" s="16">
        <f>E320 * F320 * 0</f>
        <v>0</v>
      </c>
      <c r="I320" s="16">
        <f t="shared" si="31"/>
        <v>0</v>
      </c>
      <c r="J320" s="16">
        <f>E320 * F320 * 11761.175079</f>
        <v>11761.175079000001</v>
      </c>
      <c r="K320" s="16">
        <f>E320 * F320 * 4112.303083</f>
        <v>4112.3030829999998</v>
      </c>
      <c r="L320" s="23">
        <f t="shared" si="25"/>
        <v>276.11177841999995</v>
      </c>
      <c r="M320" s="17">
        <f>SUM(G320:K320)</f>
        <v>27611.177841999997</v>
      </c>
    </row>
    <row r="321" spans="1:13" ht="25.5">
      <c r="A321" s="11">
        <v>318</v>
      </c>
      <c r="B321" s="12" t="s">
        <v>775</v>
      </c>
      <c r="C321" s="13" t="s">
        <v>776</v>
      </c>
      <c r="D321" s="13" t="s">
        <v>364</v>
      </c>
      <c r="E321" s="14">
        <v>1</v>
      </c>
      <c r="F321" s="15">
        <v>1</v>
      </c>
      <c r="G321" s="16">
        <f>E321 * F321 * 3982.43382</f>
        <v>3982.4338200000002</v>
      </c>
      <c r="H321" s="16">
        <f>E321 * F321 * 0</f>
        <v>0</v>
      </c>
      <c r="I321" s="16">
        <f t="shared" si="31"/>
        <v>0</v>
      </c>
      <c r="J321" s="16">
        <f>E321 * F321 * 3990.39868799999</f>
        <v>3990.3986879999902</v>
      </c>
      <c r="K321" s="16">
        <f>E321 * F321 * 1395.24568899999</f>
        <v>1395.2456889999901</v>
      </c>
      <c r="L321" s="23">
        <f t="shared" si="25"/>
        <v>93.680781969999813</v>
      </c>
      <c r="M321" s="17">
        <f>SUM(G321:K321)</f>
        <v>9368.0781969999807</v>
      </c>
    </row>
    <row r="322" spans="1:13">
      <c r="A322" s="11">
        <v>319</v>
      </c>
      <c r="B322" s="12" t="s">
        <v>777</v>
      </c>
      <c r="C322" s="13" t="s">
        <v>778</v>
      </c>
      <c r="D322" s="13" t="s">
        <v>421</v>
      </c>
      <c r="E322" s="14">
        <v>1</v>
      </c>
      <c r="F322" s="15">
        <v>1</v>
      </c>
      <c r="G322" s="16">
        <f>E322 * F322 * 10480.089</f>
        <v>10480.089</v>
      </c>
      <c r="H322" s="16">
        <f>E322 * F322 * 20098.845895</f>
        <v>20098.845894999999</v>
      </c>
      <c r="I322" s="16">
        <f t="shared" si="31"/>
        <v>0</v>
      </c>
      <c r="J322" s="16">
        <f>E322 * F322 * 10501.049178</f>
        <v>10501.049177999999</v>
      </c>
      <c r="K322" s="16">
        <f>E322 * F322 * 7188.997212</f>
        <v>7188.9972120000002</v>
      </c>
      <c r="L322" s="23">
        <f t="shared" si="25"/>
        <v>482.68981285000001</v>
      </c>
      <c r="M322" s="17">
        <f>SUM(G322:K322)</f>
        <v>48268.981285000002</v>
      </c>
    </row>
    <row r="323" spans="1:13" ht="25.5">
      <c r="A323" s="11">
        <v>320</v>
      </c>
      <c r="B323" s="12" t="s">
        <v>779</v>
      </c>
      <c r="C323" s="13" t="s">
        <v>780</v>
      </c>
      <c r="D323" s="13" t="s">
        <v>342</v>
      </c>
      <c r="E323" s="14">
        <v>1</v>
      </c>
      <c r="F323" s="15">
        <v>1</v>
      </c>
      <c r="G323" s="16">
        <f>E323 * F323 * 6622.338195</f>
        <v>6622.3381950000003</v>
      </c>
      <c r="H323" s="16">
        <f>E323 * F323 * 9196.334754</f>
        <v>9196.3347539999995</v>
      </c>
      <c r="I323" s="16">
        <f t="shared" si="31"/>
        <v>0</v>
      </c>
      <c r="J323" s="16">
        <f>E323 * F323 * 6635.582872</f>
        <v>6635.582872</v>
      </c>
      <c r="K323" s="16">
        <f>E323 * F323 * 3929.494769</f>
        <v>3929.4947689999999</v>
      </c>
      <c r="L323" s="23">
        <f t="shared" si="25"/>
        <v>263.8375059</v>
      </c>
      <c r="M323" s="17">
        <f>SUM(G323:K323)</f>
        <v>26383.75059</v>
      </c>
    </row>
    <row r="324" spans="1:13" ht="25.5">
      <c r="A324" s="11">
        <v>321</v>
      </c>
      <c r="B324" s="12" t="s">
        <v>781</v>
      </c>
      <c r="C324" s="13" t="s">
        <v>782</v>
      </c>
      <c r="D324" s="13" t="s">
        <v>342</v>
      </c>
      <c r="E324" s="14">
        <v>1</v>
      </c>
      <c r="F324" s="15">
        <v>1</v>
      </c>
      <c r="G324" s="16">
        <f>E324 * F324 * 6622.338195</f>
        <v>6622.3381950000003</v>
      </c>
      <c r="H324" s="16">
        <f>E324 * F324 * 12301.590645</f>
        <v>12301.590645</v>
      </c>
      <c r="I324" s="16">
        <f t="shared" si="31"/>
        <v>0</v>
      </c>
      <c r="J324" s="16">
        <f>E324 * F324 * 6635.582872</f>
        <v>6635.582872</v>
      </c>
      <c r="K324" s="16">
        <f>E324 * F324 * 4472.914549</f>
        <v>4472.9145490000001</v>
      </c>
      <c r="L324" s="23">
        <f t="shared" si="25"/>
        <v>300.32426261000001</v>
      </c>
      <c r="M324" s="17">
        <f>SUM(G324:K324)</f>
        <v>30032.426261000001</v>
      </c>
    </row>
    <row r="325" spans="1:13" ht="25.5">
      <c r="A325" s="11">
        <v>322</v>
      </c>
      <c r="B325" s="12" t="s">
        <v>783</v>
      </c>
      <c r="C325" s="13" t="s">
        <v>784</v>
      </c>
      <c r="D325" s="13" t="s">
        <v>342</v>
      </c>
      <c r="E325" s="14">
        <v>1</v>
      </c>
      <c r="F325" s="15">
        <v>1</v>
      </c>
      <c r="G325" s="16">
        <f>E325 * F325 * 6622.338195</f>
        <v>6622.3381950000003</v>
      </c>
      <c r="H325" s="16">
        <f>E325 * F325 * 17437.206156</f>
        <v>17437.206156</v>
      </c>
      <c r="I325" s="16">
        <f t="shared" si="31"/>
        <v>0</v>
      </c>
      <c r="J325" s="16">
        <f>E325 * F325 * 6635.582872</f>
        <v>6635.582872</v>
      </c>
      <c r="K325" s="16">
        <f>E325 * F325 * 5371.64726399999</f>
        <v>5371.6472639999902</v>
      </c>
      <c r="L325" s="23">
        <f t="shared" ref="L325:L377" si="32">M325/E325/F325/100</f>
        <v>360.66774486999986</v>
      </c>
      <c r="M325" s="17">
        <f>SUM(G325:K325)</f>
        <v>36066.774486999988</v>
      </c>
    </row>
    <row r="326" spans="1:13" ht="38.25">
      <c r="A326" s="11">
        <v>323</v>
      </c>
      <c r="B326" s="12" t="s">
        <v>785</v>
      </c>
      <c r="C326" s="13" t="s">
        <v>786</v>
      </c>
      <c r="D326" s="13" t="s">
        <v>787</v>
      </c>
      <c r="E326" s="14">
        <v>1</v>
      </c>
      <c r="F326" s="15">
        <v>1</v>
      </c>
      <c r="G326" s="16">
        <f>E326 * F326 * 23.664147</f>
        <v>23.664147</v>
      </c>
      <c r="H326" s="16">
        <f t="shared" ref="H326:H354" si="33">E326 * F326 * 0</f>
        <v>0</v>
      </c>
      <c r="I326" s="16">
        <f t="shared" si="31"/>
        <v>0</v>
      </c>
      <c r="J326" s="16">
        <f>E326 * F326 * 23.711475</f>
        <v>23.711475</v>
      </c>
      <c r="K326" s="16">
        <f>E326 * F326 * 8.290734</f>
        <v>8.2907340000000005</v>
      </c>
      <c r="L326" s="23">
        <f>M326/E326/F326</f>
        <v>55.666356</v>
      </c>
      <c r="M326" s="17">
        <f>SUM(G326:K326)</f>
        <v>55.666356</v>
      </c>
    </row>
    <row r="327" spans="1:13" ht="25.5">
      <c r="A327" s="11">
        <v>324</v>
      </c>
      <c r="B327" s="12" t="s">
        <v>788</v>
      </c>
      <c r="C327" s="13" t="s">
        <v>789</v>
      </c>
      <c r="D327" s="13" t="s">
        <v>787</v>
      </c>
      <c r="E327" s="14">
        <v>1</v>
      </c>
      <c r="F327" s="15">
        <v>1</v>
      </c>
      <c r="G327" s="16">
        <f>E327 * F327 * 20.960178</f>
        <v>20.960177999999999</v>
      </c>
      <c r="H327" s="16">
        <f t="shared" si="33"/>
        <v>0</v>
      </c>
      <c r="I327" s="16">
        <f t="shared" si="31"/>
        <v>0</v>
      </c>
      <c r="J327" s="16">
        <f>E327 * F327 * 21.002099</f>
        <v>21.002099000000001</v>
      </c>
      <c r="K327" s="16">
        <f>E327 * F327 * 7.343399</f>
        <v>7.3433989999999998</v>
      </c>
      <c r="L327" s="23">
        <f t="shared" ref="L327:L346" si="34">M327/E327/F327</f>
        <v>49.305675999999998</v>
      </c>
      <c r="M327" s="17">
        <f>SUM(G327:K327)</f>
        <v>49.305675999999998</v>
      </c>
    </row>
    <row r="328" spans="1:13" ht="38.25">
      <c r="A328" s="11">
        <v>325</v>
      </c>
      <c r="B328" s="12" t="s">
        <v>790</v>
      </c>
      <c r="C328" s="13" t="s">
        <v>791</v>
      </c>
      <c r="D328" s="13" t="s">
        <v>787</v>
      </c>
      <c r="E328" s="14">
        <v>1</v>
      </c>
      <c r="F328" s="15">
        <v>1</v>
      </c>
      <c r="G328" s="16">
        <f>E328 * F328 * 62.880534</f>
        <v>62.880533999999997</v>
      </c>
      <c r="H328" s="16">
        <f t="shared" si="33"/>
        <v>0</v>
      </c>
      <c r="I328" s="16">
        <f t="shared" si="31"/>
        <v>0</v>
      </c>
      <c r="J328" s="16">
        <f>E328 * F328 * 63.0062949999999</f>
        <v>63.006294999999902</v>
      </c>
      <c r="K328" s="16">
        <f>E328 * F328 * 22.030195</f>
        <v>22.030194999999999</v>
      </c>
      <c r="L328" s="23">
        <f t="shared" si="34"/>
        <v>147.91702399999988</v>
      </c>
      <c r="M328" s="17">
        <f>SUM(G328:K328)</f>
        <v>147.91702399999988</v>
      </c>
    </row>
    <row r="329" spans="1:13" ht="38.25">
      <c r="A329" s="11">
        <v>326</v>
      </c>
      <c r="B329" s="12" t="s">
        <v>792</v>
      </c>
      <c r="C329" s="13" t="s">
        <v>793</v>
      </c>
      <c r="D329" s="13" t="s">
        <v>794</v>
      </c>
      <c r="E329" s="14">
        <v>1</v>
      </c>
      <c r="F329" s="15">
        <v>1</v>
      </c>
      <c r="G329" s="16">
        <f>E329 * F329 * 125.419979</f>
        <v>125.419979</v>
      </c>
      <c r="H329" s="16">
        <f t="shared" si="33"/>
        <v>0</v>
      </c>
      <c r="I329" s="16">
        <f t="shared" si="31"/>
        <v>0</v>
      </c>
      <c r="J329" s="16">
        <f>E329 * F329 * 125.670819</f>
        <v>125.67081899999999</v>
      </c>
      <c r="K329" s="16">
        <f>E329 * F329 * 43.9408899999999</f>
        <v>43.940889999999897</v>
      </c>
      <c r="L329" s="23">
        <f t="shared" si="34"/>
        <v>295.03168799999992</v>
      </c>
      <c r="M329" s="17">
        <f>SUM(G329:K329)</f>
        <v>295.03168799999992</v>
      </c>
    </row>
    <row r="330" spans="1:13" ht="25.5">
      <c r="A330" s="11">
        <v>327</v>
      </c>
      <c r="B330" s="12" t="s">
        <v>795</v>
      </c>
      <c r="C330" s="13" t="s">
        <v>796</v>
      </c>
      <c r="D330" s="13" t="s">
        <v>794</v>
      </c>
      <c r="E330" s="14">
        <v>1</v>
      </c>
      <c r="F330" s="15">
        <v>1</v>
      </c>
      <c r="G330" s="16">
        <f>E330 * F330 * 236.64147</f>
        <v>236.64147</v>
      </c>
      <c r="H330" s="16">
        <f t="shared" si="33"/>
        <v>0</v>
      </c>
      <c r="I330" s="16">
        <f t="shared" si="31"/>
        <v>0</v>
      </c>
      <c r="J330" s="16">
        <f>E330 * F330 * 237.114753</f>
        <v>237.11475300000001</v>
      </c>
      <c r="K330" s="16">
        <f>E330 * F330 * 82.907339</f>
        <v>82.907338999999993</v>
      </c>
      <c r="L330" s="23">
        <f t="shared" si="34"/>
        <v>556.66356199999996</v>
      </c>
      <c r="M330" s="17">
        <f>SUM(G330:K330)</f>
        <v>556.66356199999996</v>
      </c>
    </row>
    <row r="331" spans="1:13" ht="25.5">
      <c r="A331" s="11">
        <v>328</v>
      </c>
      <c r="B331" s="12" t="s">
        <v>797</v>
      </c>
      <c r="C331" s="13" t="s">
        <v>798</v>
      </c>
      <c r="D331" s="13" t="s">
        <v>787</v>
      </c>
      <c r="E331" s="14">
        <v>1</v>
      </c>
      <c r="F331" s="15">
        <v>1</v>
      </c>
      <c r="G331" s="16">
        <f>E331 * F331 * 47.328294</f>
        <v>47.328294</v>
      </c>
      <c r="H331" s="16">
        <f t="shared" si="33"/>
        <v>0</v>
      </c>
      <c r="I331" s="16">
        <f t="shared" si="31"/>
        <v>0</v>
      </c>
      <c r="J331" s="16">
        <f>E331 * F331 * 47.422951</f>
        <v>47.422950999999998</v>
      </c>
      <c r="K331" s="16">
        <f>E331 * F331 * 16.581467</f>
        <v>16.581467</v>
      </c>
      <c r="L331" s="23">
        <f t="shared" si="34"/>
        <v>111.332712</v>
      </c>
      <c r="M331" s="17">
        <f>SUM(G331:K331)</f>
        <v>111.332712</v>
      </c>
    </row>
    <row r="332" spans="1:13" ht="25.5">
      <c r="A332" s="11">
        <v>329</v>
      </c>
      <c r="B332" s="12" t="s">
        <v>799</v>
      </c>
      <c r="C332" s="13" t="s">
        <v>800</v>
      </c>
      <c r="D332" s="13" t="s">
        <v>787</v>
      </c>
      <c r="E332" s="14">
        <v>1</v>
      </c>
      <c r="F332" s="15">
        <v>1</v>
      </c>
      <c r="G332" s="16">
        <f>E332 * F332 * 170.381858</f>
        <v>170.38185799999999</v>
      </c>
      <c r="H332" s="16">
        <f t="shared" si="33"/>
        <v>0</v>
      </c>
      <c r="I332" s="16">
        <f t="shared" si="31"/>
        <v>0</v>
      </c>
      <c r="J332" s="16">
        <f>E332 * F332 * 170.722622</f>
        <v>170.722622</v>
      </c>
      <c r="K332" s="16">
        <f>E332 * F332 * 59.693284</f>
        <v>59.693283999999998</v>
      </c>
      <c r="L332" s="23">
        <f t="shared" si="34"/>
        <v>400.79776399999997</v>
      </c>
      <c r="M332" s="17">
        <f>SUM(G332:K332)</f>
        <v>400.79776399999997</v>
      </c>
    </row>
    <row r="333" spans="1:13" ht="25.5">
      <c r="A333" s="11">
        <v>330</v>
      </c>
      <c r="B333" s="12" t="s">
        <v>801</v>
      </c>
      <c r="C333" s="13" t="s">
        <v>802</v>
      </c>
      <c r="D333" s="13" t="s">
        <v>787</v>
      </c>
      <c r="E333" s="14">
        <v>1</v>
      </c>
      <c r="F333" s="15">
        <v>1</v>
      </c>
      <c r="G333" s="16">
        <f>E333 * F333 * 23.664147</f>
        <v>23.664147</v>
      </c>
      <c r="H333" s="16">
        <f t="shared" si="33"/>
        <v>0</v>
      </c>
      <c r="I333" s="16">
        <f t="shared" si="31"/>
        <v>0</v>
      </c>
      <c r="J333" s="16">
        <f>E333 * F333 * 23.711475</f>
        <v>23.711475</v>
      </c>
      <c r="K333" s="16">
        <f>E333 * F333 * 8.290734</f>
        <v>8.2907340000000005</v>
      </c>
      <c r="L333" s="23">
        <f t="shared" si="34"/>
        <v>55.666356</v>
      </c>
      <c r="M333" s="17">
        <f>SUM(G333:K333)</f>
        <v>55.666356</v>
      </c>
    </row>
    <row r="334" spans="1:13" ht="25.5">
      <c r="A334" s="11">
        <v>331</v>
      </c>
      <c r="B334" s="12" t="s">
        <v>803</v>
      </c>
      <c r="C334" s="13" t="s">
        <v>804</v>
      </c>
      <c r="D334" s="13" t="s">
        <v>805</v>
      </c>
      <c r="E334" s="14">
        <v>1</v>
      </c>
      <c r="F334" s="15">
        <v>1</v>
      </c>
      <c r="G334" s="16">
        <f>E334 * F334 * 23.664147</f>
        <v>23.664147</v>
      </c>
      <c r="H334" s="16">
        <f t="shared" si="33"/>
        <v>0</v>
      </c>
      <c r="I334" s="16">
        <f t="shared" si="31"/>
        <v>0</v>
      </c>
      <c r="J334" s="16">
        <f>E334 * F334 * 23.711475</f>
        <v>23.711475</v>
      </c>
      <c r="K334" s="16">
        <f>E334 * F334 * 8.290734</f>
        <v>8.2907340000000005</v>
      </c>
      <c r="L334" s="23">
        <f t="shared" si="34"/>
        <v>55.666356</v>
      </c>
      <c r="M334" s="17">
        <f>SUM(G334:K334)</f>
        <v>55.666356</v>
      </c>
    </row>
    <row r="335" spans="1:13" ht="25.5">
      <c r="A335" s="11">
        <v>332</v>
      </c>
      <c r="B335" s="12" t="s">
        <v>806</v>
      </c>
      <c r="C335" s="13" t="s">
        <v>807</v>
      </c>
      <c r="D335" s="13" t="s">
        <v>805</v>
      </c>
      <c r="E335" s="14">
        <v>1</v>
      </c>
      <c r="F335" s="15">
        <v>1</v>
      </c>
      <c r="G335" s="16">
        <f>E335 * F335 * 20.960178</f>
        <v>20.960177999999999</v>
      </c>
      <c r="H335" s="16">
        <f t="shared" si="33"/>
        <v>0</v>
      </c>
      <c r="I335" s="16">
        <f t="shared" si="31"/>
        <v>0</v>
      </c>
      <c r="J335" s="16">
        <f>E335 * F335 * 21.002099</f>
        <v>21.002099000000001</v>
      </c>
      <c r="K335" s="16">
        <f>E335 * F335 * 7.343399</f>
        <v>7.3433989999999998</v>
      </c>
      <c r="L335" s="23">
        <f t="shared" si="34"/>
        <v>49.305675999999998</v>
      </c>
      <c r="M335" s="17">
        <f>SUM(G335:K335)</f>
        <v>49.305675999999998</v>
      </c>
    </row>
    <row r="336" spans="1:13" ht="38.25">
      <c r="A336" s="11">
        <v>333</v>
      </c>
      <c r="B336" s="12" t="s">
        <v>808</v>
      </c>
      <c r="C336" s="13" t="s">
        <v>809</v>
      </c>
      <c r="D336" s="13" t="s">
        <v>805</v>
      </c>
      <c r="E336" s="14">
        <v>1</v>
      </c>
      <c r="F336" s="15">
        <v>1</v>
      </c>
      <c r="G336" s="16">
        <f>E336 * F336 * 62.880534</f>
        <v>62.880533999999997</v>
      </c>
      <c r="H336" s="16">
        <f t="shared" si="33"/>
        <v>0</v>
      </c>
      <c r="I336" s="16">
        <f t="shared" si="31"/>
        <v>0</v>
      </c>
      <c r="J336" s="16">
        <f>E336 * F336 * 63.0062949999999</f>
        <v>63.006294999999902</v>
      </c>
      <c r="K336" s="16">
        <f>E336 * F336 * 22.030195</f>
        <v>22.030194999999999</v>
      </c>
      <c r="L336" s="23">
        <f t="shared" si="34"/>
        <v>147.91702399999988</v>
      </c>
      <c r="M336" s="17">
        <f>SUM(G336:K336)</f>
        <v>147.91702399999988</v>
      </c>
    </row>
    <row r="337" spans="1:13" ht="38.25">
      <c r="A337" s="11">
        <v>334</v>
      </c>
      <c r="B337" s="12" t="s">
        <v>810</v>
      </c>
      <c r="C337" s="13" t="s">
        <v>811</v>
      </c>
      <c r="D337" s="13" t="s">
        <v>794</v>
      </c>
      <c r="E337" s="14">
        <v>1</v>
      </c>
      <c r="F337" s="15">
        <v>1</v>
      </c>
      <c r="G337" s="16">
        <f>E337 * F337 * 125.419979</f>
        <v>125.419979</v>
      </c>
      <c r="H337" s="16">
        <f t="shared" si="33"/>
        <v>0</v>
      </c>
      <c r="I337" s="16">
        <f t="shared" si="31"/>
        <v>0</v>
      </c>
      <c r="J337" s="16">
        <f>E337 * F337 * 125.670819</f>
        <v>125.67081899999999</v>
      </c>
      <c r="K337" s="16">
        <f>E337 * F337 * 43.9408899999999</f>
        <v>43.940889999999897</v>
      </c>
      <c r="L337" s="23">
        <f t="shared" si="34"/>
        <v>295.03168799999992</v>
      </c>
      <c r="M337" s="17">
        <f>SUM(G337:K337)</f>
        <v>295.03168799999992</v>
      </c>
    </row>
    <row r="338" spans="1:13" ht="25.5">
      <c r="A338" s="11">
        <v>335</v>
      </c>
      <c r="B338" s="12" t="s">
        <v>812</v>
      </c>
      <c r="C338" s="13" t="s">
        <v>813</v>
      </c>
      <c r="D338" s="13" t="s">
        <v>794</v>
      </c>
      <c r="E338" s="14">
        <v>1</v>
      </c>
      <c r="F338" s="15">
        <v>1</v>
      </c>
      <c r="G338" s="16">
        <f>E338 * F338 * 236.64147</f>
        <v>236.64147</v>
      </c>
      <c r="H338" s="16">
        <f t="shared" si="33"/>
        <v>0</v>
      </c>
      <c r="I338" s="16">
        <f t="shared" si="31"/>
        <v>0</v>
      </c>
      <c r="J338" s="16">
        <f>E338 * F338 * 237.114753</f>
        <v>237.11475300000001</v>
      </c>
      <c r="K338" s="16">
        <f>E338 * F338 * 82.907339</f>
        <v>82.907338999999993</v>
      </c>
      <c r="L338" s="23">
        <f t="shared" si="34"/>
        <v>556.66356199999996</v>
      </c>
      <c r="M338" s="17">
        <f>SUM(G338:K338)</f>
        <v>556.66356199999996</v>
      </c>
    </row>
    <row r="339" spans="1:13" ht="25.5">
      <c r="A339" s="11">
        <v>336</v>
      </c>
      <c r="B339" s="12" t="s">
        <v>814</v>
      </c>
      <c r="C339" s="13" t="s">
        <v>815</v>
      </c>
      <c r="D339" s="13" t="s">
        <v>805</v>
      </c>
      <c r="E339" s="14">
        <v>1</v>
      </c>
      <c r="F339" s="15">
        <v>1</v>
      </c>
      <c r="G339" s="16">
        <f>E339 * F339 * 47.328294</f>
        <v>47.328294</v>
      </c>
      <c r="H339" s="16">
        <f t="shared" si="33"/>
        <v>0</v>
      </c>
      <c r="I339" s="16">
        <f t="shared" si="31"/>
        <v>0</v>
      </c>
      <c r="J339" s="16">
        <f>E339 * F339 * 47.422951</f>
        <v>47.422950999999998</v>
      </c>
      <c r="K339" s="16">
        <f>E339 * F339 * 16.581467</f>
        <v>16.581467</v>
      </c>
      <c r="L339" s="23">
        <f t="shared" si="34"/>
        <v>111.332712</v>
      </c>
      <c r="M339" s="17">
        <f>SUM(G339:K339)</f>
        <v>111.332712</v>
      </c>
    </row>
    <row r="340" spans="1:13" ht="38.25">
      <c r="A340" s="11">
        <v>337</v>
      </c>
      <c r="B340" s="12" t="s">
        <v>816</v>
      </c>
      <c r="C340" s="13" t="s">
        <v>817</v>
      </c>
      <c r="D340" s="13" t="s">
        <v>805</v>
      </c>
      <c r="E340" s="14">
        <v>1</v>
      </c>
      <c r="F340" s="15">
        <v>1</v>
      </c>
      <c r="G340" s="16">
        <f>E340 * F340 * 170.381858</f>
        <v>170.38185799999999</v>
      </c>
      <c r="H340" s="16">
        <f t="shared" si="33"/>
        <v>0</v>
      </c>
      <c r="I340" s="16">
        <f t="shared" ref="I340:I373" si="35">E340 * F340 * 0</f>
        <v>0</v>
      </c>
      <c r="J340" s="16">
        <f>E340 * F340 * 170.722622</f>
        <v>170.722622</v>
      </c>
      <c r="K340" s="16">
        <f>E340 * F340 * 59.693284</f>
        <v>59.693283999999998</v>
      </c>
      <c r="L340" s="23">
        <f t="shared" si="34"/>
        <v>400.79776399999997</v>
      </c>
      <c r="M340" s="17">
        <f>SUM(G340:K340)</f>
        <v>400.79776399999997</v>
      </c>
    </row>
    <row r="341" spans="1:13" ht="38.25">
      <c r="A341" s="11">
        <v>338</v>
      </c>
      <c r="B341" s="12" t="s">
        <v>818</v>
      </c>
      <c r="C341" s="13" t="s">
        <v>819</v>
      </c>
      <c r="D341" s="13" t="s">
        <v>805</v>
      </c>
      <c r="E341" s="14">
        <v>1</v>
      </c>
      <c r="F341" s="15">
        <v>1</v>
      </c>
      <c r="G341" s="16">
        <f>E341 * F341 * 23.664147</f>
        <v>23.664147</v>
      </c>
      <c r="H341" s="16">
        <f t="shared" si="33"/>
        <v>0</v>
      </c>
      <c r="I341" s="16">
        <f t="shared" si="35"/>
        <v>0</v>
      </c>
      <c r="J341" s="16">
        <f>E341 * F341 * 23.711475</f>
        <v>23.711475</v>
      </c>
      <c r="K341" s="16">
        <f>E341 * F341 * 8.290734</f>
        <v>8.2907340000000005</v>
      </c>
      <c r="L341" s="23">
        <f t="shared" si="34"/>
        <v>55.666356</v>
      </c>
      <c r="M341" s="17">
        <f>SUM(G341:K341)</f>
        <v>55.666356</v>
      </c>
    </row>
    <row r="342" spans="1:13" ht="25.5">
      <c r="A342" s="11">
        <v>339</v>
      </c>
      <c r="B342" s="12" t="s">
        <v>820</v>
      </c>
      <c r="C342" s="13" t="s">
        <v>821</v>
      </c>
      <c r="D342" s="13" t="s">
        <v>805</v>
      </c>
      <c r="E342" s="14">
        <v>1</v>
      </c>
      <c r="F342" s="15">
        <v>1</v>
      </c>
      <c r="G342" s="16">
        <f>E342 * F342 * 236.64147</f>
        <v>236.64147</v>
      </c>
      <c r="H342" s="16">
        <f t="shared" si="33"/>
        <v>0</v>
      </c>
      <c r="I342" s="16">
        <f t="shared" si="35"/>
        <v>0</v>
      </c>
      <c r="J342" s="16">
        <f>E342 * F342 * 237.114753</f>
        <v>237.11475300000001</v>
      </c>
      <c r="K342" s="16">
        <f>E342 * F342 * 82.907339</f>
        <v>82.907338999999993</v>
      </c>
      <c r="L342" s="23">
        <f t="shared" si="34"/>
        <v>556.66356199999996</v>
      </c>
      <c r="M342" s="17">
        <f>SUM(G342:K342)</f>
        <v>556.66356199999996</v>
      </c>
    </row>
    <row r="343" spans="1:13" ht="38.25">
      <c r="A343" s="11">
        <v>340</v>
      </c>
      <c r="B343" s="12" t="s">
        <v>822</v>
      </c>
      <c r="C343" s="13" t="s">
        <v>823</v>
      </c>
      <c r="D343" s="13" t="s">
        <v>805</v>
      </c>
      <c r="E343" s="14">
        <v>1</v>
      </c>
      <c r="F343" s="15">
        <v>1</v>
      </c>
      <c r="G343" s="16">
        <f>E343 * F343 * 36.22965</f>
        <v>36.229649999999999</v>
      </c>
      <c r="H343" s="16">
        <f t="shared" si="33"/>
        <v>0</v>
      </c>
      <c r="I343" s="16">
        <f t="shared" si="35"/>
        <v>0</v>
      </c>
      <c r="J343" s="16">
        <f>E343 * F343 * 36.302109</f>
        <v>36.302109000000002</v>
      </c>
      <c r="K343" s="16">
        <f>E343 * F343 * 12.693058</f>
        <v>12.693058000000001</v>
      </c>
      <c r="L343" s="23">
        <f t="shared" si="34"/>
        <v>85.224817000000002</v>
      </c>
      <c r="M343" s="17">
        <f>SUM(G343:K343)</f>
        <v>85.224817000000002</v>
      </c>
    </row>
    <row r="344" spans="1:13" ht="38.25">
      <c r="A344" s="11">
        <v>341</v>
      </c>
      <c r="B344" s="12" t="s">
        <v>824</v>
      </c>
      <c r="C344" s="13" t="s">
        <v>825</v>
      </c>
      <c r="D344" s="13" t="s">
        <v>805</v>
      </c>
      <c r="E344" s="14">
        <v>1</v>
      </c>
      <c r="F344" s="15">
        <v>1</v>
      </c>
      <c r="G344" s="16">
        <f>E344 * F344 * 434.7558</f>
        <v>434.75580000000002</v>
      </c>
      <c r="H344" s="16">
        <f t="shared" si="33"/>
        <v>0</v>
      </c>
      <c r="I344" s="16">
        <f t="shared" si="35"/>
        <v>0</v>
      </c>
      <c r="J344" s="16">
        <f>E344 * F344 * 435.625312</f>
        <v>435.62531200000001</v>
      </c>
      <c r="K344" s="16">
        <f>E344 * F344 * 152.316693999999</f>
        <v>152.31669399999899</v>
      </c>
      <c r="L344" s="23">
        <f t="shared" si="34"/>
        <v>1022.697805999999</v>
      </c>
      <c r="M344" s="17">
        <f>SUM(G344:K344)</f>
        <v>1022.697805999999</v>
      </c>
    </row>
    <row r="345" spans="1:13" ht="25.5">
      <c r="A345" s="11">
        <v>342</v>
      </c>
      <c r="B345" s="12" t="s">
        <v>826</v>
      </c>
      <c r="C345" s="13" t="s">
        <v>827</v>
      </c>
      <c r="D345" s="13" t="s">
        <v>439</v>
      </c>
      <c r="E345" s="14">
        <v>1</v>
      </c>
      <c r="F345" s="15">
        <v>1</v>
      </c>
      <c r="G345" s="16">
        <f>E345 * F345 * 352.59579</f>
        <v>352.59579000000002</v>
      </c>
      <c r="H345" s="16">
        <f t="shared" si="33"/>
        <v>0</v>
      </c>
      <c r="I345" s="16">
        <f t="shared" si="35"/>
        <v>0</v>
      </c>
      <c r="J345" s="16">
        <f>E345 * F345 * 353.300982</f>
        <v>353.30098199999998</v>
      </c>
      <c r="K345" s="16">
        <f>E345 * F345 * 123.531935</f>
        <v>123.531935</v>
      </c>
      <c r="L345" s="23">
        <f t="shared" si="34"/>
        <v>829.42870700000003</v>
      </c>
      <c r="M345" s="17">
        <f>SUM(G345:K345)</f>
        <v>829.42870700000003</v>
      </c>
    </row>
    <row r="346" spans="1:13" ht="25.5">
      <c r="A346" s="11">
        <v>343</v>
      </c>
      <c r="B346" s="12" t="s">
        <v>828</v>
      </c>
      <c r="C346" s="13" t="s">
        <v>829</v>
      </c>
      <c r="D346" s="13" t="s">
        <v>439</v>
      </c>
      <c r="E346" s="14">
        <v>1</v>
      </c>
      <c r="F346" s="15">
        <v>1</v>
      </c>
      <c r="G346" s="16">
        <f>E346 * F346 * 352.59579</f>
        <v>352.59579000000002</v>
      </c>
      <c r="H346" s="16">
        <f t="shared" si="33"/>
        <v>0</v>
      </c>
      <c r="I346" s="16">
        <f t="shared" si="35"/>
        <v>0</v>
      </c>
      <c r="J346" s="16">
        <f>E346 * F346 * 353.300982</f>
        <v>353.30098199999998</v>
      </c>
      <c r="K346" s="16">
        <f>E346 * F346 * 123.531935</f>
        <v>123.531935</v>
      </c>
      <c r="L346" s="23">
        <f t="shared" si="34"/>
        <v>829.42870700000003</v>
      </c>
      <c r="M346" s="17">
        <f>SUM(G346:K346)</f>
        <v>829.42870700000003</v>
      </c>
    </row>
    <row r="347" spans="1:13" ht="76.5">
      <c r="A347" s="11">
        <v>344</v>
      </c>
      <c r="B347" s="12" t="s">
        <v>830</v>
      </c>
      <c r="C347" s="13" t="s">
        <v>831</v>
      </c>
      <c r="D347" s="13" t="s">
        <v>832</v>
      </c>
      <c r="E347" s="14">
        <v>1</v>
      </c>
      <c r="F347" s="15">
        <v>365</v>
      </c>
      <c r="G347" s="16">
        <f>E347 * F347 * 406.7554</f>
        <v>148465.72099999999</v>
      </c>
      <c r="H347" s="16">
        <f t="shared" si="33"/>
        <v>0</v>
      </c>
      <c r="I347" s="16">
        <f t="shared" si="35"/>
        <v>0</v>
      </c>
      <c r="J347" s="16">
        <f>E347 * F347 * 407.568910999999</f>
        <v>148762.65251499965</v>
      </c>
      <c r="K347" s="16">
        <f>E347 * F347 * 142.506754</f>
        <v>52014.965210000002</v>
      </c>
      <c r="L347" s="23">
        <f>M347/E347/F347/1000</f>
        <v>0.95683106499999893</v>
      </c>
      <c r="M347" s="17">
        <f>SUM(G347:K347)</f>
        <v>349243.33872499963</v>
      </c>
    </row>
    <row r="348" spans="1:13" ht="76.5">
      <c r="A348" s="11">
        <v>345</v>
      </c>
      <c r="B348" s="12" t="s">
        <v>833</v>
      </c>
      <c r="C348" s="13" t="s">
        <v>834</v>
      </c>
      <c r="D348" s="13" t="s">
        <v>832</v>
      </c>
      <c r="E348" s="14">
        <v>1</v>
      </c>
      <c r="F348" s="15">
        <v>365</v>
      </c>
      <c r="G348" s="16">
        <f>E348 * F348 * 412.2954</f>
        <v>150487.821</v>
      </c>
      <c r="H348" s="16">
        <f t="shared" si="33"/>
        <v>0</v>
      </c>
      <c r="I348" s="16">
        <f t="shared" si="35"/>
        <v>0</v>
      </c>
      <c r="J348" s="16">
        <f>E348 * F348 * 413.119991</f>
        <v>150788.796715</v>
      </c>
      <c r="K348" s="16">
        <f>E348 * F348 * 144.447693</f>
        <v>52723.407944999992</v>
      </c>
      <c r="L348" s="23">
        <f t="shared" ref="L348:L354" si="36">M348/E348/F348/1000</f>
        <v>0.96986308399999999</v>
      </c>
      <c r="M348" s="17">
        <f>SUM(G348:K348)</f>
        <v>354000.02565999998</v>
      </c>
    </row>
    <row r="349" spans="1:13" ht="76.5">
      <c r="A349" s="11">
        <v>346</v>
      </c>
      <c r="B349" s="12" t="s">
        <v>835</v>
      </c>
      <c r="C349" s="13" t="s">
        <v>836</v>
      </c>
      <c r="D349" s="13" t="s">
        <v>832</v>
      </c>
      <c r="E349" s="14">
        <v>1</v>
      </c>
      <c r="F349" s="15">
        <v>365</v>
      </c>
      <c r="G349" s="16">
        <f>E349 * F349 * 448.4014</f>
        <v>163666.511</v>
      </c>
      <c r="H349" s="16">
        <f t="shared" si="33"/>
        <v>0</v>
      </c>
      <c r="I349" s="16">
        <f t="shared" si="35"/>
        <v>0</v>
      </c>
      <c r="J349" s="16">
        <f>E349 * F349 * 449.298203</f>
        <v>163993.84409500001</v>
      </c>
      <c r="K349" s="16">
        <f>E349 * F349 * 157.09743</f>
        <v>57340.561950000003</v>
      </c>
      <c r="L349" s="23">
        <f t="shared" si="36"/>
        <v>1.0547970330000001</v>
      </c>
      <c r="M349" s="17">
        <f>SUM(G349:K349)</f>
        <v>385000.91704500001</v>
      </c>
    </row>
    <row r="350" spans="1:13" ht="76.5">
      <c r="A350" s="11">
        <v>347</v>
      </c>
      <c r="B350" s="12" t="s">
        <v>837</v>
      </c>
      <c r="C350" s="13" t="s">
        <v>838</v>
      </c>
      <c r="D350" s="13" t="s">
        <v>832</v>
      </c>
      <c r="E350" s="14">
        <v>1</v>
      </c>
      <c r="F350" s="15">
        <v>365</v>
      </c>
      <c r="G350" s="16">
        <f>E350 * F350 * 490.0474</f>
        <v>178867.30100000001</v>
      </c>
      <c r="H350" s="16">
        <f t="shared" si="33"/>
        <v>0</v>
      </c>
      <c r="I350" s="16">
        <f t="shared" si="35"/>
        <v>0</v>
      </c>
      <c r="J350" s="16">
        <f>E350 * F350 * 491.027495</f>
        <v>179225.03567499999</v>
      </c>
      <c r="K350" s="16">
        <f>E350 * F350 * 171.688106</f>
        <v>62666.158690000004</v>
      </c>
      <c r="L350" s="23">
        <f t="shared" si="36"/>
        <v>1.1527630010000001</v>
      </c>
      <c r="M350" s="17">
        <f>SUM(G350:K350)</f>
        <v>420758.49536500004</v>
      </c>
    </row>
    <row r="351" spans="1:13" ht="76.5">
      <c r="A351" s="11">
        <v>348</v>
      </c>
      <c r="B351" s="12" t="s">
        <v>839</v>
      </c>
      <c r="C351" s="13" t="s">
        <v>840</v>
      </c>
      <c r="D351" s="13" t="s">
        <v>832</v>
      </c>
      <c r="E351" s="14">
        <v>1</v>
      </c>
      <c r="F351" s="15">
        <v>365</v>
      </c>
      <c r="G351" s="16">
        <f>E351 * F351 * 536.9564</f>
        <v>195989.08600000001</v>
      </c>
      <c r="H351" s="16">
        <f t="shared" si="33"/>
        <v>0</v>
      </c>
      <c r="I351" s="16">
        <f t="shared" si="35"/>
        <v>0</v>
      </c>
      <c r="J351" s="16">
        <f>E351 * F351 * 538.030313</f>
        <v>196381.06424499999</v>
      </c>
      <c r="K351" s="16">
        <f>E351 * F351 * 188.122674</f>
        <v>68664.776010000001</v>
      </c>
      <c r="L351" s="23">
        <f t="shared" si="36"/>
        <v>1.2631093870000003</v>
      </c>
      <c r="M351" s="17">
        <f>SUM(G351:K351)</f>
        <v>461034.92625500006</v>
      </c>
    </row>
    <row r="352" spans="1:13" ht="76.5">
      <c r="A352" s="11">
        <v>349</v>
      </c>
      <c r="B352" s="12" t="s">
        <v>841</v>
      </c>
      <c r="C352" s="13" t="s">
        <v>831</v>
      </c>
      <c r="D352" s="13" t="s">
        <v>842</v>
      </c>
      <c r="E352" s="14">
        <v>1</v>
      </c>
      <c r="F352" s="15">
        <v>1</v>
      </c>
      <c r="G352" s="16">
        <f>E352 * F352 * 332.6638</f>
        <v>332.66379999999998</v>
      </c>
      <c r="H352" s="16">
        <f t="shared" si="33"/>
        <v>0</v>
      </c>
      <c r="I352" s="16">
        <f t="shared" si="35"/>
        <v>0</v>
      </c>
      <c r="J352" s="16">
        <f>E352 * F352 * 333.329127999999</f>
        <v>333.329127999999</v>
      </c>
      <c r="K352" s="16">
        <f>E352 * F352 * 116.548763</f>
        <v>116.54876299999999</v>
      </c>
      <c r="L352" s="23">
        <f t="shared" si="36"/>
        <v>0.78254169099999904</v>
      </c>
      <c r="M352" s="17">
        <f>SUM(G352:K352)</f>
        <v>782.54169099999899</v>
      </c>
    </row>
    <row r="353" spans="1:13" ht="76.5">
      <c r="A353" s="11">
        <v>350</v>
      </c>
      <c r="B353" s="12" t="s">
        <v>843</v>
      </c>
      <c r="C353" s="13" t="s">
        <v>834</v>
      </c>
      <c r="D353" s="13" t="s">
        <v>842</v>
      </c>
      <c r="E353" s="14">
        <v>1</v>
      </c>
      <c r="F353" s="15">
        <v>1</v>
      </c>
      <c r="G353" s="16">
        <f>E353 * F353 * 338.2038</f>
        <v>338.2038</v>
      </c>
      <c r="H353" s="16">
        <f t="shared" si="33"/>
        <v>0</v>
      </c>
      <c r="I353" s="16">
        <f t="shared" si="35"/>
        <v>0</v>
      </c>
      <c r="J353" s="16">
        <f>E353 * F353 * 338.880208</f>
        <v>338.88020799999998</v>
      </c>
      <c r="K353" s="16">
        <f>E353 * F353 * 118.489702</f>
        <v>118.48970199999999</v>
      </c>
      <c r="L353" s="23">
        <f t="shared" si="36"/>
        <v>0.79557370999999999</v>
      </c>
      <c r="M353" s="17">
        <f>SUM(G353:K353)</f>
        <v>795.57371000000001</v>
      </c>
    </row>
    <row r="354" spans="1:13" ht="76.5">
      <c r="A354" s="11">
        <v>351</v>
      </c>
      <c r="B354" s="12" t="s">
        <v>844</v>
      </c>
      <c r="C354" s="13" t="s">
        <v>836</v>
      </c>
      <c r="D354" s="13" t="s">
        <v>842</v>
      </c>
      <c r="E354" s="14">
        <v>1</v>
      </c>
      <c r="F354" s="15">
        <v>1</v>
      </c>
      <c r="G354" s="16">
        <f>E354 * F354 * 366.8258</f>
        <v>366.82580000000002</v>
      </c>
      <c r="H354" s="16">
        <f t="shared" si="33"/>
        <v>0</v>
      </c>
      <c r="I354" s="16">
        <f t="shared" si="35"/>
        <v>0</v>
      </c>
      <c r="J354" s="16">
        <f>E354 * F354 * 367.559451999999</f>
        <v>367.559451999999</v>
      </c>
      <c r="K354" s="16">
        <f>E354 * F354 * 128.517419</f>
        <v>128.51741899999999</v>
      </c>
      <c r="L354" s="23">
        <f t="shared" si="36"/>
        <v>0.86290267099999907</v>
      </c>
      <c r="M354" s="17">
        <f>SUM(G354:K354)</f>
        <v>862.90267099999903</v>
      </c>
    </row>
    <row r="355" spans="1:13" ht="25.5">
      <c r="A355" s="11">
        <v>352</v>
      </c>
      <c r="B355" s="12" t="s">
        <v>845</v>
      </c>
      <c r="C355" s="13" t="s">
        <v>846</v>
      </c>
      <c r="D355" s="13" t="s">
        <v>512</v>
      </c>
      <c r="E355" s="14">
        <v>1</v>
      </c>
      <c r="F355" s="15">
        <v>1</v>
      </c>
      <c r="G355" s="16">
        <f>E355 * F355 * 8829.78426</f>
        <v>8829.7842600000004</v>
      </c>
      <c r="H355" s="16">
        <f>E355 * F355 * 3737.720737</f>
        <v>3737.7207370000001</v>
      </c>
      <c r="I355" s="16">
        <f t="shared" si="35"/>
        <v>0</v>
      </c>
      <c r="J355" s="16">
        <f>E355 * F355 * 8847.443829</f>
        <v>8847.4438289999998</v>
      </c>
      <c r="K355" s="16">
        <f>E355 * F355 * 3747.61604499999</f>
        <v>3747.6160449999902</v>
      </c>
      <c r="L355" s="23">
        <f t="shared" si="32"/>
        <v>251.62564870999992</v>
      </c>
      <c r="M355" s="17">
        <f>SUM(G355:K355)</f>
        <v>25162.564870999991</v>
      </c>
    </row>
    <row r="356" spans="1:13">
      <c r="A356" s="11">
        <v>353</v>
      </c>
      <c r="B356" s="12" t="s">
        <v>847</v>
      </c>
      <c r="C356" s="13" t="s">
        <v>848</v>
      </c>
      <c r="D356" s="13" t="s">
        <v>849</v>
      </c>
      <c r="E356" s="14">
        <v>1</v>
      </c>
      <c r="F356" s="15">
        <v>1</v>
      </c>
      <c r="G356" s="16">
        <f>E356 * F356 * 46.877438</f>
        <v>46.877437999999998</v>
      </c>
      <c r="H356" s="16">
        <f>E356 * F356 * 395.8416</f>
        <v>395.84160000000003</v>
      </c>
      <c r="I356" s="16">
        <f t="shared" si="35"/>
        <v>0</v>
      </c>
      <c r="J356" s="16">
        <f>E356 * F356 * 46.971193</f>
        <v>46.971193</v>
      </c>
      <c r="K356" s="16">
        <f>E356 * F356 * 85.69579</f>
        <v>85.695790000000002</v>
      </c>
      <c r="L356" s="23">
        <f>M356/E356/F356</f>
        <v>575.38602100000003</v>
      </c>
      <c r="M356" s="17">
        <f>SUM(G356:K356)</f>
        <v>575.38602100000003</v>
      </c>
    </row>
    <row r="357" spans="1:13">
      <c r="A357" s="11">
        <v>354</v>
      </c>
      <c r="B357" s="12" t="s">
        <v>850</v>
      </c>
      <c r="C357" s="13" t="s">
        <v>851</v>
      </c>
      <c r="D357" s="13" t="s">
        <v>852</v>
      </c>
      <c r="E357" s="14">
        <v>1</v>
      </c>
      <c r="F357" s="15">
        <v>1</v>
      </c>
      <c r="G357" s="16">
        <f>E357 * F357 * 8.596883</f>
        <v>8.5968830000000001</v>
      </c>
      <c r="H357" s="16">
        <f>E357 * F357 * 0</f>
        <v>0</v>
      </c>
      <c r="I357" s="16">
        <f t="shared" si="35"/>
        <v>0</v>
      </c>
      <c r="J357" s="16">
        <f>E357 * F357 * 8.614077</f>
        <v>8.614077</v>
      </c>
      <c r="K357" s="16">
        <f>E357 * F357 * 3.01191799999999</f>
        <v>3.0119179999999899</v>
      </c>
      <c r="L357" s="23">
        <f>M357/E357/F357</f>
        <v>20.222877999999991</v>
      </c>
      <c r="M357" s="17">
        <f>SUM(G357:K357)</f>
        <v>20.222877999999991</v>
      </c>
    </row>
    <row r="358" spans="1:13" ht="25.5">
      <c r="A358" s="11">
        <v>355</v>
      </c>
      <c r="B358" s="12" t="s">
        <v>853</v>
      </c>
      <c r="C358" s="13" t="s">
        <v>854</v>
      </c>
      <c r="D358" s="13" t="s">
        <v>512</v>
      </c>
      <c r="E358" s="14">
        <v>1</v>
      </c>
      <c r="F358" s="15">
        <v>1</v>
      </c>
      <c r="G358" s="16">
        <f>E358 * F358 * 8829.78426</f>
        <v>8829.7842600000004</v>
      </c>
      <c r="H358" s="16">
        <f>E358 * F358 * 3737.720737</f>
        <v>3737.7207370000001</v>
      </c>
      <c r="I358" s="16">
        <f t="shared" si="35"/>
        <v>0</v>
      </c>
      <c r="J358" s="16">
        <f>E358 * F358 * 8847.443829</f>
        <v>8847.4438289999998</v>
      </c>
      <c r="K358" s="16">
        <f>E358 * F358 * 3747.61604499999</f>
        <v>3747.6160449999902</v>
      </c>
      <c r="L358" s="23">
        <f t="shared" si="32"/>
        <v>251.62564870999992</v>
      </c>
      <c r="M358" s="17">
        <f>SUM(G358:K358)</f>
        <v>25162.564870999991</v>
      </c>
    </row>
    <row r="359" spans="1:13" ht="25.5">
      <c r="A359" s="11">
        <v>356</v>
      </c>
      <c r="B359" s="12" t="s">
        <v>855</v>
      </c>
      <c r="C359" s="13" t="s">
        <v>856</v>
      </c>
      <c r="D359" s="13" t="s">
        <v>857</v>
      </c>
      <c r="E359" s="14">
        <v>1</v>
      </c>
      <c r="F359" s="15">
        <v>365</v>
      </c>
      <c r="G359" s="16">
        <f>E359 * F359 * 145.27206</f>
        <v>53024.301900000006</v>
      </c>
      <c r="H359" s="16">
        <f>E359 * F359 * 0</f>
        <v>0</v>
      </c>
      <c r="I359" s="16">
        <f t="shared" si="35"/>
        <v>0</v>
      </c>
      <c r="J359" s="16">
        <f>E359 * F359 * 145.562604</f>
        <v>53130.350459999994</v>
      </c>
      <c r="K359" s="16">
        <f>E359 * F359 * 50.896066</f>
        <v>18577.06409</v>
      </c>
      <c r="L359" s="23">
        <f>M359/E359/F359</f>
        <v>341.73072999999999</v>
      </c>
      <c r="M359" s="17">
        <f>SUM(G359:K359)</f>
        <v>124731.71645000001</v>
      </c>
    </row>
    <row r="360" spans="1:13" ht="38.25">
      <c r="A360" s="11">
        <v>357</v>
      </c>
      <c r="B360" s="12" t="s">
        <v>858</v>
      </c>
      <c r="C360" s="13" t="s">
        <v>859</v>
      </c>
      <c r="D360" s="13" t="s">
        <v>860</v>
      </c>
      <c r="E360" s="14">
        <v>1</v>
      </c>
      <c r="F360" s="15">
        <v>365</v>
      </c>
      <c r="G360" s="16">
        <f>E360 * F360 * 186.98034</f>
        <v>68247.824099999998</v>
      </c>
      <c r="H360" s="16">
        <f>E360 * F360 * 0</f>
        <v>0</v>
      </c>
      <c r="I360" s="16">
        <f t="shared" si="35"/>
        <v>0</v>
      </c>
      <c r="J360" s="16">
        <f>E360 * F360 * 187.354301</f>
        <v>68384.319864999998</v>
      </c>
      <c r="K360" s="16">
        <f>E360 * F360 * 65.508562</f>
        <v>23910.62513</v>
      </c>
      <c r="L360" s="23">
        <f t="shared" si="32"/>
        <v>4.3984320300000004</v>
      </c>
      <c r="M360" s="17">
        <f>SUM(G360:K360)</f>
        <v>160542.769095</v>
      </c>
    </row>
    <row r="361" spans="1:13" ht="51">
      <c r="A361" s="11">
        <v>358</v>
      </c>
      <c r="B361" s="12" t="s">
        <v>861</v>
      </c>
      <c r="C361" s="13" t="s">
        <v>862</v>
      </c>
      <c r="D361" s="13" t="s">
        <v>860</v>
      </c>
      <c r="E361" s="14">
        <v>1</v>
      </c>
      <c r="F361" s="15">
        <v>365</v>
      </c>
      <c r="G361" s="16">
        <f>E361 * F361 * 202.873669</f>
        <v>74048.889185000007</v>
      </c>
      <c r="H361" s="16">
        <f>E361 * F361 * 0</f>
        <v>0</v>
      </c>
      <c r="I361" s="16">
        <f t="shared" si="35"/>
        <v>0</v>
      </c>
      <c r="J361" s="16">
        <f>E361 * F361 * 203.279416</f>
        <v>74196.986839999998</v>
      </c>
      <c r="K361" s="16">
        <f>E361 * F361 * 71.07679</f>
        <v>25943.028350000001</v>
      </c>
      <c r="L361" s="23">
        <f t="shared" si="32"/>
        <v>4.7722987500000009</v>
      </c>
      <c r="M361" s="17">
        <f>SUM(G361:K361)</f>
        <v>174188.90437500001</v>
      </c>
    </row>
    <row r="362" spans="1:13" ht="38.25">
      <c r="A362" s="11">
        <v>359</v>
      </c>
      <c r="B362" s="12" t="s">
        <v>863</v>
      </c>
      <c r="C362" s="13" t="s">
        <v>864</v>
      </c>
      <c r="D362" s="13" t="s">
        <v>860</v>
      </c>
      <c r="E362" s="14">
        <v>1</v>
      </c>
      <c r="F362" s="15">
        <v>1</v>
      </c>
      <c r="G362" s="16">
        <f>E362 * F362 * 1416.84441</f>
        <v>1416.8444099999999</v>
      </c>
      <c r="H362" s="16">
        <f>E362 * F362 * 663.54552</f>
        <v>663.54552000000001</v>
      </c>
      <c r="I362" s="16">
        <f t="shared" si="35"/>
        <v>0</v>
      </c>
      <c r="J362" s="16">
        <f>E362 * F362 * 1419.678099</f>
        <v>1419.678099</v>
      </c>
      <c r="K362" s="16">
        <f>E362 * F362 * 612.511905</f>
        <v>612.51190499999996</v>
      </c>
      <c r="L362" s="23">
        <f t="shared" si="32"/>
        <v>41.12579934</v>
      </c>
      <c r="M362" s="17">
        <f>SUM(G362:K362)</f>
        <v>4112.5799340000003</v>
      </c>
    </row>
    <row r="363" spans="1:13" ht="51">
      <c r="A363" s="11">
        <v>360</v>
      </c>
      <c r="B363" s="12" t="s">
        <v>865</v>
      </c>
      <c r="C363" s="13" t="s">
        <v>866</v>
      </c>
      <c r="D363" s="13" t="s">
        <v>860</v>
      </c>
      <c r="E363" s="14">
        <v>1</v>
      </c>
      <c r="F363" s="15">
        <v>1</v>
      </c>
      <c r="G363" s="16">
        <f>E363 * F363 * 1537.276185</f>
        <v>1537.2761849999999</v>
      </c>
      <c r="H363" s="16">
        <f>E363 * F363 * 663.54552</f>
        <v>663.54552000000001</v>
      </c>
      <c r="I363" s="16">
        <f t="shared" si="35"/>
        <v>0</v>
      </c>
      <c r="J363" s="16">
        <f>E363 * F363 * 1540.35073799999</f>
        <v>1540.3507379999901</v>
      </c>
      <c r="K363" s="16">
        <f>E363 * F363 * 654.705177</f>
        <v>654.70517700000005</v>
      </c>
      <c r="L363" s="23">
        <f t="shared" si="32"/>
        <v>43.958776199999903</v>
      </c>
      <c r="M363" s="17">
        <f>SUM(G363:K363)</f>
        <v>4395.8776199999902</v>
      </c>
    </row>
    <row r="364" spans="1:13" ht="25.5">
      <c r="A364" s="11">
        <v>361</v>
      </c>
      <c r="B364" s="12" t="s">
        <v>867</v>
      </c>
      <c r="C364" s="13" t="s">
        <v>868</v>
      </c>
      <c r="D364" s="13" t="s">
        <v>869</v>
      </c>
      <c r="E364" s="14">
        <v>1</v>
      </c>
      <c r="F364" s="15">
        <v>1</v>
      </c>
      <c r="G364" s="16">
        <f>E364 * F364 * 318.114</f>
        <v>318.11399999999998</v>
      </c>
      <c r="H364" s="16">
        <f>E364 * F364 * 924.351674</f>
        <v>924.351674</v>
      </c>
      <c r="I364" s="16">
        <f t="shared" si="35"/>
        <v>0</v>
      </c>
      <c r="J364" s="16">
        <f>E364 * F364 * 318.750228</f>
        <v>318.75022799999999</v>
      </c>
      <c r="K364" s="16">
        <f>E364 * F364 * 273.212783</f>
        <v>273.212783</v>
      </c>
      <c r="L364" s="23">
        <f t="shared" si="32"/>
        <v>18.34428685</v>
      </c>
      <c r="M364" s="17">
        <f>SUM(G364:K364)</f>
        <v>1834.4286849999999</v>
      </c>
    </row>
    <row r="365" spans="1:13" ht="25.5">
      <c r="A365" s="11">
        <v>362</v>
      </c>
      <c r="B365" s="12" t="s">
        <v>870</v>
      </c>
      <c r="C365" s="13" t="s">
        <v>871</v>
      </c>
      <c r="D365" s="13" t="s">
        <v>869</v>
      </c>
      <c r="E365" s="14">
        <v>1</v>
      </c>
      <c r="F365" s="15">
        <v>1</v>
      </c>
      <c r="G365" s="16">
        <f>E365 * F365 * 606.71409</f>
        <v>606.71409000000006</v>
      </c>
      <c r="H365" s="16">
        <f>E365 * F365 * 924.351674</f>
        <v>924.351674</v>
      </c>
      <c r="I365" s="16">
        <f t="shared" si="35"/>
        <v>0</v>
      </c>
      <c r="J365" s="16">
        <f>E365 * F365 * 607.927518</f>
        <v>607.92751799999996</v>
      </c>
      <c r="K365" s="16">
        <f>E365 * F365 * 374.323824</f>
        <v>374.323824</v>
      </c>
      <c r="L365" s="23">
        <f t="shared" si="32"/>
        <v>25.133171059999999</v>
      </c>
      <c r="M365" s="17">
        <f>SUM(G365:K365)</f>
        <v>2513.317106</v>
      </c>
    </row>
    <row r="366" spans="1:13" ht="25.5">
      <c r="A366" s="11">
        <v>363</v>
      </c>
      <c r="B366" s="12" t="s">
        <v>872</v>
      </c>
      <c r="C366" s="13" t="s">
        <v>873</v>
      </c>
      <c r="D366" s="13" t="s">
        <v>874</v>
      </c>
      <c r="E366" s="14">
        <v>1</v>
      </c>
      <c r="F366" s="15">
        <v>2</v>
      </c>
      <c r="G366" s="16">
        <f>E366 * F366 * 72.865779</f>
        <v>145.73155800000001</v>
      </c>
      <c r="H366" s="16">
        <f>E366 * F366 * 0</f>
        <v>0</v>
      </c>
      <c r="I366" s="16">
        <f t="shared" si="35"/>
        <v>0</v>
      </c>
      <c r="J366" s="16">
        <f>E366 * F366 * 73.01151</f>
        <v>146.02302</v>
      </c>
      <c r="K366" s="16">
        <f>E366 * F366 * 25.528526</f>
        <v>51.057051999999999</v>
      </c>
      <c r="L366" s="23">
        <f t="shared" si="32"/>
        <v>1.7140581500000003</v>
      </c>
      <c r="M366" s="17">
        <f>SUM(G366:K366)</f>
        <v>342.81163000000004</v>
      </c>
    </row>
    <row r="367" spans="1:13">
      <c r="A367" s="11">
        <v>364</v>
      </c>
      <c r="B367" s="12" t="s">
        <v>875</v>
      </c>
      <c r="C367" s="13" t="s">
        <v>876</v>
      </c>
      <c r="D367" s="13" t="s">
        <v>877</v>
      </c>
      <c r="E367" s="14">
        <v>1</v>
      </c>
      <c r="F367" s="15">
        <v>2</v>
      </c>
      <c r="G367" s="16">
        <f>E367 * F367 * 83.0631</f>
        <v>166.12620000000001</v>
      </c>
      <c r="H367" s="16">
        <f>E367 * F367 * 87.1398</f>
        <v>174.27959999999999</v>
      </c>
      <c r="I367" s="16">
        <f t="shared" si="35"/>
        <v>0</v>
      </c>
      <c r="J367" s="16">
        <f>E367 * F367 * 83.229226</f>
        <v>166.45845199999999</v>
      </c>
      <c r="K367" s="16">
        <f>E367 * F367 * 44.350622</f>
        <v>88.701244000000003</v>
      </c>
      <c r="L367" s="23">
        <f>M367/E367/F367</f>
        <v>297.78274799999997</v>
      </c>
      <c r="M367" s="17">
        <f>SUM(G367:K367)</f>
        <v>595.56549599999994</v>
      </c>
    </row>
    <row r="368" spans="1:13">
      <c r="A368" s="11">
        <v>365</v>
      </c>
      <c r="B368" s="12" t="s">
        <v>878</v>
      </c>
      <c r="C368" s="13" t="s">
        <v>879</v>
      </c>
      <c r="D368" s="13" t="s">
        <v>877</v>
      </c>
      <c r="E368" s="14">
        <v>1</v>
      </c>
      <c r="F368" s="15">
        <v>2</v>
      </c>
      <c r="G368" s="16">
        <f>E368 * F368 * 141.384</f>
        <v>282.76799999999997</v>
      </c>
      <c r="H368" s="16">
        <f>E368 * F368 * 87.1398</f>
        <v>174.27959999999999</v>
      </c>
      <c r="I368" s="16">
        <f t="shared" si="35"/>
        <v>0</v>
      </c>
      <c r="J368" s="16">
        <f>E368 * F368 * 141.666768</f>
        <v>283.33353599999998</v>
      </c>
      <c r="K368" s="16">
        <f>E368 * F368 * 64.78335</f>
        <v>129.5667</v>
      </c>
      <c r="L368" s="23">
        <f>M368/E368/F368</f>
        <v>434.97391799999997</v>
      </c>
      <c r="M368" s="17">
        <f>SUM(G368:K368)</f>
        <v>869.94783599999994</v>
      </c>
    </row>
    <row r="369" spans="1:13" ht="25.5">
      <c r="A369" s="11">
        <v>366</v>
      </c>
      <c r="B369" s="12" t="s">
        <v>880</v>
      </c>
      <c r="C369" s="13" t="s">
        <v>881</v>
      </c>
      <c r="D369" s="13" t="s">
        <v>882</v>
      </c>
      <c r="E369" s="14">
        <v>1</v>
      </c>
      <c r="F369" s="15">
        <v>1</v>
      </c>
      <c r="G369" s="16">
        <f>E369 * F369 * 3787.67736</f>
        <v>3787.6773600000001</v>
      </c>
      <c r="H369" s="16">
        <f>E369 * F369 * 0</f>
        <v>0</v>
      </c>
      <c r="I369" s="16">
        <f t="shared" si="35"/>
        <v>0</v>
      </c>
      <c r="J369" s="16">
        <f>E369 * F369 * 3795.25271499999</f>
        <v>3795.2527149999901</v>
      </c>
      <c r="K369" s="16">
        <f>E369 * F369 * 1327.012763</f>
        <v>1327.0127629999999</v>
      </c>
      <c r="L369" s="23">
        <f t="shared" si="32"/>
        <v>89.099428379999893</v>
      </c>
      <c r="M369" s="17">
        <f>SUM(G369:K369)</f>
        <v>8909.9428379999899</v>
      </c>
    </row>
    <row r="370" spans="1:13">
      <c r="A370" s="11">
        <v>367</v>
      </c>
      <c r="B370" s="12" t="s">
        <v>883</v>
      </c>
      <c r="C370" s="13" t="s">
        <v>884</v>
      </c>
      <c r="D370" s="13" t="s">
        <v>885</v>
      </c>
      <c r="E370" s="14">
        <v>1</v>
      </c>
      <c r="F370" s="15">
        <v>8</v>
      </c>
      <c r="G370" s="16">
        <f>E370 * F370 * 13.25475</f>
        <v>106.038</v>
      </c>
      <c r="H370" s="16">
        <f>E370 * F370 * 66.025951</f>
        <v>528.20760800000005</v>
      </c>
      <c r="I370" s="16">
        <f t="shared" si="35"/>
        <v>0</v>
      </c>
      <c r="J370" s="16">
        <f>E370 * F370 * 13.281259</f>
        <v>106.250072</v>
      </c>
      <c r="K370" s="16">
        <f>E370 * F370 * 16.198343</f>
        <v>129.58674400000001</v>
      </c>
      <c r="L370" s="23">
        <f>M370/E370/F370</f>
        <v>108.76030300000002</v>
      </c>
      <c r="M370" s="17">
        <f>SUM(G370:K370)</f>
        <v>870.08242400000017</v>
      </c>
    </row>
    <row r="371" spans="1:13" ht="38.25">
      <c r="A371" s="11">
        <v>368</v>
      </c>
      <c r="B371" s="12" t="s">
        <v>886</v>
      </c>
      <c r="C371" s="13" t="s">
        <v>887</v>
      </c>
      <c r="D371" s="13" t="s">
        <v>888</v>
      </c>
      <c r="E371" s="14">
        <v>1</v>
      </c>
      <c r="F371" s="15">
        <v>1</v>
      </c>
      <c r="G371" s="16">
        <f>E371 * F371 * 25785.620989</f>
        <v>25785.620988999999</v>
      </c>
      <c r="H371" s="16">
        <f>E371 * F371 * 6903.491865</f>
        <v>6903.491865</v>
      </c>
      <c r="I371" s="16">
        <f t="shared" si="35"/>
        <v>0</v>
      </c>
      <c r="J371" s="16">
        <f>E371 * F371 * 25837.192231</f>
        <v>25837.192231000001</v>
      </c>
      <c r="K371" s="16">
        <f>E371 * F371 * 10242.103389</f>
        <v>10242.103389</v>
      </c>
      <c r="L371" s="23">
        <f t="shared" si="32"/>
        <v>687.68408474</v>
      </c>
      <c r="M371" s="17">
        <f>SUM(G371:K371)</f>
        <v>68768.408473999996</v>
      </c>
    </row>
    <row r="372" spans="1:13">
      <c r="A372" s="11">
        <v>369</v>
      </c>
      <c r="B372" s="12" t="s">
        <v>889</v>
      </c>
      <c r="C372" s="13" t="s">
        <v>890</v>
      </c>
      <c r="D372" s="13" t="s">
        <v>891</v>
      </c>
      <c r="E372" s="14">
        <v>1</v>
      </c>
      <c r="F372" s="15">
        <v>2</v>
      </c>
      <c r="G372" s="16">
        <f>E372 * F372 * 169.13061</f>
        <v>338.26121999999998</v>
      </c>
      <c r="H372" s="16">
        <f>E372 * F372 * 6.845078</f>
        <v>13.690156</v>
      </c>
      <c r="I372" s="16">
        <f t="shared" si="35"/>
        <v>0</v>
      </c>
      <c r="J372" s="16">
        <f>E372 * F372 * 169.468870999999</f>
        <v>338.93774199999802</v>
      </c>
      <c r="K372" s="16">
        <f>E372 * F372 * 60.452798</f>
        <v>120.905596</v>
      </c>
      <c r="L372" s="23">
        <f>M372/E372/F372/10</f>
        <v>40.589735699999906</v>
      </c>
      <c r="M372" s="17">
        <f>SUM(G372:K372)</f>
        <v>811.79471399999807</v>
      </c>
    </row>
    <row r="373" spans="1:13">
      <c r="A373" s="11">
        <v>370</v>
      </c>
      <c r="B373" s="12" t="s">
        <v>892</v>
      </c>
      <c r="C373" s="13" t="s">
        <v>893</v>
      </c>
      <c r="D373" s="13" t="s">
        <v>894</v>
      </c>
      <c r="E373" s="14">
        <v>1</v>
      </c>
      <c r="F373" s="15">
        <v>2</v>
      </c>
      <c r="G373" s="16">
        <f>E373 * F373 * 63.26934</f>
        <v>126.53868</v>
      </c>
      <c r="H373" s="16">
        <f>E373 * F373 * 51.86214</f>
        <v>103.72427999999999</v>
      </c>
      <c r="I373" s="16">
        <f t="shared" si="35"/>
        <v>0</v>
      </c>
      <c r="J373" s="16">
        <f>E373 * F373 * 63.395879</f>
        <v>126.791758</v>
      </c>
      <c r="K373" s="16">
        <f>E373 * F373 * 31.242288</f>
        <v>62.484575999999997</v>
      </c>
      <c r="L373" s="23">
        <f>M373/E373/F373/10</f>
        <v>20.9769647</v>
      </c>
      <c r="M373" s="17">
        <f>SUM(G373:K373)</f>
        <v>419.53929399999998</v>
      </c>
    </row>
    <row r="374" spans="1:13" ht="25.5">
      <c r="A374" s="11">
        <v>371</v>
      </c>
      <c r="B374" s="12" t="s">
        <v>895</v>
      </c>
      <c r="C374" s="13" t="s">
        <v>45</v>
      </c>
      <c r="D374" s="13" t="s">
        <v>46</v>
      </c>
      <c r="E374" s="14">
        <v>1</v>
      </c>
      <c r="F374" s="15">
        <v>1</v>
      </c>
      <c r="G374" s="16">
        <f>E374 * F374 * 2510.468207</f>
        <v>2510.4682069999999</v>
      </c>
      <c r="H374" s="16">
        <f>E374 * F374 * 1335.860129</f>
        <v>1335.8601289999999</v>
      </c>
      <c r="I374" s="16">
        <f>E374 * F374 * 1083.901</f>
        <v>1083.9010000000001</v>
      </c>
      <c r="J374" s="16">
        <f>E374 * F374 * 2515.489144</f>
        <v>2515.4891440000001</v>
      </c>
      <c r="K374" s="16">
        <f>E374 * F374 * 1303.000734</f>
        <v>1303.000734</v>
      </c>
      <c r="L374" s="23">
        <f t="shared" si="32"/>
        <v>87.487192139999991</v>
      </c>
      <c r="M374" s="17">
        <f>SUM(G374:K374)</f>
        <v>8748.7192139999988</v>
      </c>
    </row>
    <row r="375" spans="1:13" ht="25.5">
      <c r="A375" s="11">
        <v>372</v>
      </c>
      <c r="B375" s="12" t="s">
        <v>896</v>
      </c>
      <c r="C375" s="13" t="s">
        <v>897</v>
      </c>
      <c r="D375" s="13" t="s">
        <v>46</v>
      </c>
      <c r="E375" s="14">
        <v>1</v>
      </c>
      <c r="F375" s="15">
        <v>1</v>
      </c>
      <c r="G375" s="16">
        <f>E375 * F375 * 2994.099572</f>
        <v>2994.0995720000001</v>
      </c>
      <c r="H375" s="16">
        <f>E375 * F375 * 1866.833521</f>
        <v>1866.833521</v>
      </c>
      <c r="I375" s="16">
        <f>E375 * F375 * 1294.177794</f>
        <v>1294.1777939999999</v>
      </c>
      <c r="J375" s="16">
        <f>E375 * F375 * 3000.087771</f>
        <v>3000.087771</v>
      </c>
      <c r="K375" s="16">
        <f>E375 * F375 * 1602.15976499999</f>
        <v>1602.1597649999901</v>
      </c>
      <c r="L375" s="23">
        <f t="shared" si="32"/>
        <v>107.57358422999988</v>
      </c>
      <c r="M375" s="17">
        <f>SUM(G375:K375)</f>
        <v>10757.358422999989</v>
      </c>
    </row>
    <row r="376" spans="1:13" ht="25.5">
      <c r="A376" s="11">
        <v>373</v>
      </c>
      <c r="B376" s="12" t="s">
        <v>898</v>
      </c>
      <c r="C376" s="13" t="s">
        <v>899</v>
      </c>
      <c r="D376" s="13" t="s">
        <v>46</v>
      </c>
      <c r="E376" s="14">
        <v>1</v>
      </c>
      <c r="F376" s="15">
        <v>1</v>
      </c>
      <c r="G376" s="16">
        <f>E376 * F376 * 2167.310682</f>
        <v>2167.3106819999998</v>
      </c>
      <c r="H376" s="16">
        <f>E376 * F376 * 509.712908</f>
        <v>509.71290800000003</v>
      </c>
      <c r="I376" s="16">
        <f>E376 * F376 * 936.490464</f>
        <v>936.49046399999997</v>
      </c>
      <c r="J376" s="16">
        <f>E376 * F376 * 2171.645303</f>
        <v>2171.6453029999998</v>
      </c>
      <c r="K376" s="16">
        <f>E376 * F376 * 1012.402888</f>
        <v>1012.402888</v>
      </c>
      <c r="L376" s="23">
        <f t="shared" si="32"/>
        <v>67.975622449999989</v>
      </c>
      <c r="M376" s="17">
        <f>SUM(G376:K376)</f>
        <v>6797.5622449999992</v>
      </c>
    </row>
    <row r="377" spans="1:13" ht="25.5">
      <c r="A377" s="11">
        <v>374</v>
      </c>
      <c r="B377" s="12" t="s">
        <v>900</v>
      </c>
      <c r="C377" s="13" t="s">
        <v>901</v>
      </c>
      <c r="D377" s="13" t="s">
        <v>46</v>
      </c>
      <c r="E377" s="14">
        <v>1</v>
      </c>
      <c r="F377" s="15">
        <v>1</v>
      </c>
      <c r="G377" s="16">
        <f>E377 * F377 * 2167.310682</f>
        <v>2167.3106819999998</v>
      </c>
      <c r="H377" s="16">
        <f>E377 * F377 * 771.674449</f>
        <v>771.67444899999998</v>
      </c>
      <c r="I377" s="16">
        <f>E377 * F377 * 936.490464</f>
        <v>936.49046399999997</v>
      </c>
      <c r="J377" s="16">
        <f>E377 * F377 * 2171.645303</f>
        <v>2171.6453029999998</v>
      </c>
      <c r="K377" s="16">
        <f>E377 * F377 * 1058.246157</f>
        <v>1058.246157</v>
      </c>
      <c r="L377" s="23">
        <f t="shared" si="32"/>
        <v>71.053670549999993</v>
      </c>
      <c r="M377" s="17">
        <f>SUM(G377:K377)</f>
        <v>7105.3670549999988</v>
      </c>
    </row>
    <row r="378" spans="1:13" ht="25.5">
      <c r="A378" s="11">
        <v>375</v>
      </c>
      <c r="B378" s="12" t="s">
        <v>902</v>
      </c>
      <c r="C378" s="13" t="s">
        <v>903</v>
      </c>
      <c r="D378" s="13" t="s">
        <v>904</v>
      </c>
      <c r="E378" s="14">
        <v>1</v>
      </c>
      <c r="F378" s="15">
        <v>1</v>
      </c>
      <c r="G378" s="16">
        <f>E378 * F378 * 235.0509</f>
        <v>235.05090000000001</v>
      </c>
      <c r="H378" s="16">
        <f>E378 * F378 * 1.832588</f>
        <v>1.8325880000000001</v>
      </c>
      <c r="I378" s="16">
        <f t="shared" ref="I378:I392" si="37">E378 * F378 * 0</f>
        <v>0</v>
      </c>
      <c r="J378" s="16">
        <f>E378 * F378 * 235.521002</f>
        <v>235.52100200000001</v>
      </c>
      <c r="K378" s="16">
        <f>E378 * F378 * 82.6707859999999</f>
        <v>82.670785999999893</v>
      </c>
      <c r="L378" s="23">
        <f>M378/E378/F378/1000</f>
        <v>0.55507527599999995</v>
      </c>
      <c r="M378" s="17">
        <f>SUM(G378:K378)</f>
        <v>555.07527599999992</v>
      </c>
    </row>
    <row r="379" spans="1:13" ht="25.5">
      <c r="A379" s="11">
        <v>376</v>
      </c>
      <c r="B379" s="12" t="s">
        <v>905</v>
      </c>
      <c r="C379" s="13" t="s">
        <v>906</v>
      </c>
      <c r="D379" s="13" t="s">
        <v>904</v>
      </c>
      <c r="E379" s="14">
        <v>1</v>
      </c>
      <c r="F379" s="15">
        <v>1</v>
      </c>
      <c r="G379" s="16">
        <f>E379 * F379 * 295.1391</f>
        <v>295.13909999999998</v>
      </c>
      <c r="H379" s="16">
        <f>E379 * F379 * 2.272409</f>
        <v>2.2724090000000001</v>
      </c>
      <c r="I379" s="16">
        <f t="shared" si="37"/>
        <v>0</v>
      </c>
      <c r="J379" s="16">
        <f>E379 * F379 * 295.729378</f>
        <v>295.729378</v>
      </c>
      <c r="K379" s="16">
        <f>E379 * F379 * 103.799656</f>
        <v>103.799656</v>
      </c>
      <c r="L379" s="23">
        <f t="shared" ref="L379:L386" si="38">M379/E379/F379/1000</f>
        <v>0.69694054300000008</v>
      </c>
      <c r="M379" s="17">
        <f>SUM(G379:K379)</f>
        <v>696.94054300000005</v>
      </c>
    </row>
    <row r="380" spans="1:13" ht="25.5">
      <c r="A380" s="11">
        <v>377</v>
      </c>
      <c r="B380" s="12" t="s">
        <v>907</v>
      </c>
      <c r="C380" s="13" t="s">
        <v>908</v>
      </c>
      <c r="D380" s="13" t="s">
        <v>904</v>
      </c>
      <c r="E380" s="14">
        <v>1</v>
      </c>
      <c r="F380" s="15">
        <v>1</v>
      </c>
      <c r="G380" s="16">
        <f>E380 * F380 * 353.46</f>
        <v>353.46</v>
      </c>
      <c r="H380" s="16">
        <f>E380 * F380 * 2.71223</f>
        <v>2.7122299999999999</v>
      </c>
      <c r="I380" s="16">
        <f t="shared" si="37"/>
        <v>0</v>
      </c>
      <c r="J380" s="16">
        <f>E380 * F380 * 354.16692</f>
        <v>354.16692</v>
      </c>
      <c r="K380" s="16">
        <f>E380 * F380 * 124.309350999999</f>
        <v>124.309350999999</v>
      </c>
      <c r="L380" s="23">
        <f t="shared" si="38"/>
        <v>0.83464850099999899</v>
      </c>
      <c r="M380" s="17">
        <f>SUM(G380:K380)</f>
        <v>834.64850099999899</v>
      </c>
    </row>
    <row r="381" spans="1:13" ht="25.5">
      <c r="A381" s="11">
        <v>378</v>
      </c>
      <c r="B381" s="12" t="s">
        <v>909</v>
      </c>
      <c r="C381" s="13" t="s">
        <v>910</v>
      </c>
      <c r="D381" s="13" t="s">
        <v>904</v>
      </c>
      <c r="E381" s="14">
        <v>1</v>
      </c>
      <c r="F381" s="15">
        <v>1</v>
      </c>
      <c r="G381" s="16">
        <f>E381 * F381 * 323.4159</f>
        <v>323.41590000000002</v>
      </c>
      <c r="H381" s="16">
        <f>E381 * F381 * 2.49232</f>
        <v>2.4923199999999999</v>
      </c>
      <c r="I381" s="16">
        <f t="shared" si="37"/>
        <v>0</v>
      </c>
      <c r="J381" s="16">
        <f>E381 * F381 * 324.062732</f>
        <v>324.06273199999998</v>
      </c>
      <c r="K381" s="16">
        <f>E381 * F381 * 113.744916</f>
        <v>113.744916</v>
      </c>
      <c r="L381" s="23">
        <f t="shared" si="38"/>
        <v>0.76371586800000002</v>
      </c>
      <c r="M381" s="17">
        <f>SUM(G381:K381)</f>
        <v>763.715868</v>
      </c>
    </row>
    <row r="382" spans="1:13" ht="25.5">
      <c r="A382" s="11">
        <v>379</v>
      </c>
      <c r="B382" s="12" t="s">
        <v>911</v>
      </c>
      <c r="C382" s="13" t="s">
        <v>912</v>
      </c>
      <c r="D382" s="13" t="s">
        <v>904</v>
      </c>
      <c r="E382" s="14">
        <v>1</v>
      </c>
      <c r="F382" s="15">
        <v>1</v>
      </c>
      <c r="G382" s="16">
        <f>E382 * F382 * 383.5041</f>
        <v>383.50409999999999</v>
      </c>
      <c r="H382" s="16">
        <f>E382 * F382 * 2.932141</f>
        <v>2.9321410000000001</v>
      </c>
      <c r="I382" s="16">
        <f t="shared" si="37"/>
        <v>0</v>
      </c>
      <c r="J382" s="16">
        <f>E382 * F382 * 384.271108</f>
        <v>384.27110800000003</v>
      </c>
      <c r="K382" s="16">
        <f>E382 * F382 * 134.873786</f>
        <v>134.873786</v>
      </c>
      <c r="L382" s="23">
        <f t="shared" si="38"/>
        <v>0.90558113500000004</v>
      </c>
      <c r="M382" s="17">
        <f>SUM(G382:K382)</f>
        <v>905.58113500000002</v>
      </c>
    </row>
    <row r="383" spans="1:13" ht="25.5">
      <c r="A383" s="11">
        <v>380</v>
      </c>
      <c r="B383" s="12" t="s">
        <v>913</v>
      </c>
      <c r="C383" s="13" t="s">
        <v>914</v>
      </c>
      <c r="D383" s="13" t="s">
        <v>904</v>
      </c>
      <c r="E383" s="14">
        <v>1</v>
      </c>
      <c r="F383" s="15">
        <v>1</v>
      </c>
      <c r="G383" s="16">
        <f>E383 * F383 * 441.825</f>
        <v>441.82499999999999</v>
      </c>
      <c r="H383" s="16">
        <f>E383 * F383 * 3.371962</f>
        <v>3.3719619999999999</v>
      </c>
      <c r="I383" s="16">
        <f t="shared" si="37"/>
        <v>0</v>
      </c>
      <c r="J383" s="16">
        <f>E383 * F383 * 442.70865</f>
        <v>442.70864999999998</v>
      </c>
      <c r="K383" s="16">
        <f>E383 * F383 * 155.383482</f>
        <v>155.38348199999999</v>
      </c>
      <c r="L383" s="23">
        <f t="shared" si="38"/>
        <v>1.0432890939999999</v>
      </c>
      <c r="M383" s="17">
        <f>SUM(G383:K383)</f>
        <v>1043.289094</v>
      </c>
    </row>
    <row r="384" spans="1:13" ht="25.5">
      <c r="A384" s="11">
        <v>381</v>
      </c>
      <c r="B384" s="12" t="s">
        <v>915</v>
      </c>
      <c r="C384" s="13" t="s">
        <v>916</v>
      </c>
      <c r="D384" s="13" t="s">
        <v>904</v>
      </c>
      <c r="E384" s="14">
        <v>1</v>
      </c>
      <c r="F384" s="15">
        <v>1</v>
      </c>
      <c r="G384" s="16">
        <f>E384 * F384 * 383.5041</f>
        <v>383.50409999999999</v>
      </c>
      <c r="H384" s="16">
        <f>E384 * F384 * 2.932141</f>
        <v>2.9321410000000001</v>
      </c>
      <c r="I384" s="16">
        <f t="shared" si="37"/>
        <v>0</v>
      </c>
      <c r="J384" s="16">
        <f>E384 * F384 * 384.271108</f>
        <v>384.27110800000003</v>
      </c>
      <c r="K384" s="16">
        <f>E384 * F384 * 134.873786</f>
        <v>134.873786</v>
      </c>
      <c r="L384" s="23">
        <f t="shared" si="38"/>
        <v>0.90558113500000004</v>
      </c>
      <c r="M384" s="17">
        <f>SUM(G384:K384)</f>
        <v>905.58113500000002</v>
      </c>
    </row>
    <row r="385" spans="1:13" ht="25.5">
      <c r="A385" s="11">
        <v>382</v>
      </c>
      <c r="B385" s="12" t="s">
        <v>917</v>
      </c>
      <c r="C385" s="13" t="s">
        <v>918</v>
      </c>
      <c r="D385" s="13" t="s">
        <v>904</v>
      </c>
      <c r="E385" s="14">
        <v>1</v>
      </c>
      <c r="F385" s="15">
        <v>1</v>
      </c>
      <c r="G385" s="16">
        <f>E385 * F385 * 441.825</f>
        <v>441.82499999999999</v>
      </c>
      <c r="H385" s="16">
        <f>E385 * F385 * 3.371962</f>
        <v>3.3719619999999999</v>
      </c>
      <c r="I385" s="16">
        <f t="shared" si="37"/>
        <v>0</v>
      </c>
      <c r="J385" s="16">
        <f>E385 * F385 * 442.70865</f>
        <v>442.70864999999998</v>
      </c>
      <c r="K385" s="16">
        <f>E385 * F385 * 155.383482</f>
        <v>155.38348199999999</v>
      </c>
      <c r="L385" s="23">
        <f t="shared" si="38"/>
        <v>1.0432890939999999</v>
      </c>
      <c r="M385" s="17">
        <f>SUM(G385:K385)</f>
        <v>1043.289094</v>
      </c>
    </row>
    <row r="386" spans="1:13" ht="25.5">
      <c r="A386" s="11">
        <v>383</v>
      </c>
      <c r="B386" s="12" t="s">
        <v>919</v>
      </c>
      <c r="C386" s="13" t="s">
        <v>920</v>
      </c>
      <c r="D386" s="13" t="s">
        <v>904</v>
      </c>
      <c r="E386" s="14">
        <v>1</v>
      </c>
      <c r="F386" s="15">
        <v>1</v>
      </c>
      <c r="G386" s="16">
        <f>E386 * F386 * 500.1459</f>
        <v>500.14589999999998</v>
      </c>
      <c r="H386" s="16">
        <f>E386 * F386 * 3.811783</f>
        <v>3.8117830000000001</v>
      </c>
      <c r="I386" s="16">
        <f t="shared" si="37"/>
        <v>0</v>
      </c>
      <c r="J386" s="16">
        <f>E386 * F386 * 501.146192</f>
        <v>501.14619199999999</v>
      </c>
      <c r="K386" s="16">
        <f>E386 * F386 * 175.893177999999</f>
        <v>175.89317799999901</v>
      </c>
      <c r="L386" s="23">
        <f t="shared" si="38"/>
        <v>1.1809970529999991</v>
      </c>
      <c r="M386" s="17">
        <f>SUM(G386:K386)</f>
        <v>1180.9970529999991</v>
      </c>
    </row>
    <row r="387" spans="1:13" ht="25.5">
      <c r="A387" s="11">
        <v>384</v>
      </c>
      <c r="B387" s="12" t="s">
        <v>921</v>
      </c>
      <c r="C387" s="13" t="s">
        <v>922</v>
      </c>
      <c r="D387" s="13" t="s">
        <v>923</v>
      </c>
      <c r="E387" s="14">
        <v>1</v>
      </c>
      <c r="F387" s="15">
        <v>1</v>
      </c>
      <c r="G387" s="16">
        <f>E387 * F387 * 11782.5891</f>
        <v>11782.589099999999</v>
      </c>
      <c r="H387" s="16">
        <f>E387 * F387 * 0</f>
        <v>0</v>
      </c>
      <c r="I387" s="16">
        <f t="shared" si="37"/>
        <v>0</v>
      </c>
      <c r="J387" s="16">
        <f>E387 * F387 * 11806.154278</f>
        <v>11806.154278</v>
      </c>
      <c r="K387" s="16">
        <f>E387 * F387 * 4128.030091</f>
        <v>4128.0300909999996</v>
      </c>
      <c r="L387" s="23">
        <f>M387/E387/F387/100000</f>
        <v>0.27716773469</v>
      </c>
      <c r="M387" s="17">
        <f>SUM(G387:K387)</f>
        <v>27716.773469</v>
      </c>
    </row>
    <row r="388" spans="1:13" ht="25.5">
      <c r="A388" s="11">
        <v>385</v>
      </c>
      <c r="B388" s="12" t="s">
        <v>924</v>
      </c>
      <c r="C388" s="13" t="s">
        <v>925</v>
      </c>
      <c r="D388" s="13" t="s">
        <v>923</v>
      </c>
      <c r="E388" s="14">
        <v>1</v>
      </c>
      <c r="F388" s="15">
        <v>1</v>
      </c>
      <c r="G388" s="16">
        <f>E388 * F388 * 20619.0891</f>
        <v>20619.089100000001</v>
      </c>
      <c r="H388" s="16">
        <f>E388 * F388 * 0</f>
        <v>0</v>
      </c>
      <c r="I388" s="16">
        <f t="shared" si="37"/>
        <v>0</v>
      </c>
      <c r="J388" s="16">
        <f>E388 * F388 * 20660.327278</f>
        <v>20660.327278000001</v>
      </c>
      <c r="K388" s="16">
        <f>E388 * F388 * 7223.897866</f>
        <v>7223.8978660000002</v>
      </c>
      <c r="L388" s="23">
        <f t="shared" ref="L388:L392" si="39">M388/E388/F388/100000</f>
        <v>0.48503314244000001</v>
      </c>
      <c r="M388" s="17">
        <f>SUM(G388:K388)</f>
        <v>48503.314244000001</v>
      </c>
    </row>
    <row r="389" spans="1:13" ht="25.5">
      <c r="A389" s="11">
        <v>386</v>
      </c>
      <c r="B389" s="12" t="s">
        <v>926</v>
      </c>
      <c r="C389" s="13" t="s">
        <v>927</v>
      </c>
      <c r="D389" s="13" t="s">
        <v>923</v>
      </c>
      <c r="E389" s="14">
        <v>1</v>
      </c>
      <c r="F389" s="15">
        <v>1</v>
      </c>
      <c r="G389" s="16">
        <f>E389 * F389 * 23563.4109</f>
        <v>23563.410899999999</v>
      </c>
      <c r="H389" s="16">
        <f>E389 * F389 * 0</f>
        <v>0</v>
      </c>
      <c r="I389" s="16">
        <f t="shared" si="37"/>
        <v>0</v>
      </c>
      <c r="J389" s="16">
        <f>E389 * F389 * 23610.537722</f>
        <v>23610.537722000001</v>
      </c>
      <c r="K389" s="16">
        <f>E389 * F389 * 8255.441009</f>
        <v>8255.4410090000001</v>
      </c>
      <c r="L389" s="23">
        <f t="shared" si="39"/>
        <v>0.55429389631000003</v>
      </c>
      <c r="M389" s="17">
        <f>SUM(G389:K389)</f>
        <v>55429.389630999998</v>
      </c>
    </row>
    <row r="390" spans="1:13" ht="25.5">
      <c r="A390" s="11">
        <v>387</v>
      </c>
      <c r="B390" s="12" t="s">
        <v>928</v>
      </c>
      <c r="C390" s="13" t="s">
        <v>929</v>
      </c>
      <c r="D390" s="13" t="s">
        <v>923</v>
      </c>
      <c r="E390" s="14">
        <v>1</v>
      </c>
      <c r="F390" s="15">
        <v>2</v>
      </c>
      <c r="G390" s="16">
        <f>E390 * F390 * 206185.5891</f>
        <v>412371.17820000002</v>
      </c>
      <c r="H390" s="16">
        <f>E390 * F390 * 1576.538813</f>
        <v>3153.0776259999998</v>
      </c>
      <c r="I390" s="16">
        <f t="shared" si="37"/>
        <v>0</v>
      </c>
      <c r="J390" s="16">
        <f>E390 * F390 * 206597.960278</f>
        <v>413195.92055600003</v>
      </c>
      <c r="K390" s="16">
        <f>E390 * F390 * 72513.015433</f>
        <v>145026.03086599999</v>
      </c>
      <c r="L390" s="23">
        <f t="shared" si="39"/>
        <v>4.8687310362400007</v>
      </c>
      <c r="M390" s="17">
        <f>SUM(G390:K390)</f>
        <v>973746.20724800008</v>
      </c>
    </row>
    <row r="391" spans="1:13">
      <c r="A391" s="11">
        <v>388</v>
      </c>
      <c r="B391" s="12" t="s">
        <v>930</v>
      </c>
      <c r="C391" s="13" t="s">
        <v>931</v>
      </c>
      <c r="D391" s="13" t="s">
        <v>932</v>
      </c>
      <c r="E391" s="14">
        <v>1</v>
      </c>
      <c r="F391" s="15">
        <v>80</v>
      </c>
      <c r="G391" s="16">
        <f>E391 * F391 * 22679.7609</f>
        <v>1814380.872</v>
      </c>
      <c r="H391" s="16">
        <f>E391 * F391 * 175.928449</f>
        <v>14074.27592</v>
      </c>
      <c r="I391" s="16">
        <f t="shared" si="37"/>
        <v>0</v>
      </c>
      <c r="J391" s="16">
        <f>E391 * F391 * 22725.120422</f>
        <v>1818009.6337600001</v>
      </c>
      <c r="K391" s="16">
        <f>E391 * F391 * 7976.64171</f>
        <v>638131.33679999993</v>
      </c>
      <c r="L391" s="23">
        <f t="shared" si="39"/>
        <v>0.53557451480999996</v>
      </c>
      <c r="M391" s="17">
        <f>SUM(G391:K391)</f>
        <v>4284596.1184799997</v>
      </c>
    </row>
    <row r="392" spans="1:13">
      <c r="A392" s="11">
        <v>389</v>
      </c>
      <c r="B392" s="12" t="s">
        <v>933</v>
      </c>
      <c r="C392" s="13" t="s">
        <v>934</v>
      </c>
      <c r="D392" s="13" t="s">
        <v>935</v>
      </c>
      <c r="E392" s="14">
        <v>1</v>
      </c>
      <c r="F392" s="15">
        <v>1</v>
      </c>
      <c r="G392" s="16">
        <f>E392 * F392 * 17673</f>
        <v>17673</v>
      </c>
      <c r="H392" s="16">
        <f>E392 * F392 * 0</f>
        <v>0</v>
      </c>
      <c r="I392" s="16">
        <f t="shared" si="37"/>
        <v>0</v>
      </c>
      <c r="J392" s="16">
        <f>E392 * F392 * 17708.346</f>
        <v>17708.346000000001</v>
      </c>
      <c r="K392" s="16">
        <f>E392 * F392 * 6191.73554999999</f>
        <v>6191.7355499999903</v>
      </c>
      <c r="L392" s="23">
        <f t="shared" si="39"/>
        <v>0.41573081549999996</v>
      </c>
      <c r="M392" s="17">
        <f>SUM(G392:K392)</f>
        <v>41573.081549999995</v>
      </c>
    </row>
    <row r="393" spans="1:13">
      <c r="A393" s="11">
        <v>390</v>
      </c>
      <c r="B393" s="12" t="s">
        <v>936</v>
      </c>
      <c r="C393" s="13" t="s">
        <v>937</v>
      </c>
      <c r="D393" s="13" t="s">
        <v>938</v>
      </c>
      <c r="E393" s="14">
        <v>1</v>
      </c>
      <c r="F393" s="15">
        <v>1</v>
      </c>
      <c r="G393" s="16">
        <f>E393 * F393 * 187.917009</f>
        <v>187.91700900000001</v>
      </c>
      <c r="H393" s="16">
        <f>E393 * F393 * 43.982112</f>
        <v>43.982112000000001</v>
      </c>
      <c r="I393" s="16">
        <f>E393 * F393 * 82.0911</f>
        <v>82.091099999999997</v>
      </c>
      <c r="J393" s="16">
        <f>E393 * F393 * 188.292843</f>
        <v>188.292843</v>
      </c>
      <c r="K393" s="16">
        <f>E393 * F393 * 87.899536</f>
        <v>87.899535999999998</v>
      </c>
      <c r="L393" s="23">
        <f t="shared" ref="L393:L451" si="40">M393/E393/F393/100</f>
        <v>5.9018259999999998</v>
      </c>
      <c r="M393" s="17">
        <f>SUM(G393:K393)</f>
        <v>590.18259999999998</v>
      </c>
    </row>
    <row r="394" spans="1:13">
      <c r="A394" s="11">
        <v>391</v>
      </c>
      <c r="B394" s="12" t="s">
        <v>939</v>
      </c>
      <c r="C394" s="13" t="s">
        <v>940</v>
      </c>
      <c r="D394" s="13" t="s">
        <v>941</v>
      </c>
      <c r="E394" s="14">
        <v>1</v>
      </c>
      <c r="F394" s="15">
        <v>1</v>
      </c>
      <c r="G394" s="16">
        <f>E394 * F394 * 425.9193</f>
        <v>425.91930000000002</v>
      </c>
      <c r="H394" s="16">
        <f>E394 * F394 * 733.035204</f>
        <v>733.03520400000002</v>
      </c>
      <c r="I394" s="16">
        <f>E394 * F394 * 0</f>
        <v>0</v>
      </c>
      <c r="J394" s="16">
        <f>E394 * F394 * 426.771139</f>
        <v>426.77113900000001</v>
      </c>
      <c r="K394" s="16">
        <f>E394 * F394 * 277.501987</f>
        <v>277.50198699999999</v>
      </c>
      <c r="L394" s="23">
        <f t="shared" si="40"/>
        <v>18.632276299999997</v>
      </c>
      <c r="M394" s="17">
        <f>SUM(G394:K394)</f>
        <v>1863.2276299999999</v>
      </c>
    </row>
    <row r="395" spans="1:13">
      <c r="A395" s="11">
        <v>392</v>
      </c>
      <c r="B395" s="12" t="s">
        <v>942</v>
      </c>
      <c r="C395" s="13" t="s">
        <v>943</v>
      </c>
      <c r="D395" s="13" t="s">
        <v>944</v>
      </c>
      <c r="E395" s="14">
        <v>1</v>
      </c>
      <c r="F395" s="15">
        <v>1</v>
      </c>
      <c r="G395" s="16">
        <f>E395 * F395 * 185690.4</f>
        <v>185690.4</v>
      </c>
      <c r="H395" s="16">
        <f t="shared" ref="H395:H400" si="41">E395 * F395 * 0</f>
        <v>0</v>
      </c>
      <c r="I395" s="16">
        <f>E395 * F395 * 354845.127</f>
        <v>354845.12699999998</v>
      </c>
      <c r="J395" s="16">
        <f>E395 * F395 * 272206.05025</f>
        <v>272206.05024999997</v>
      </c>
      <c r="K395" s="16">
        <f>E395 * F395 * 142229.776018999</f>
        <v>142229.77601899899</v>
      </c>
      <c r="L395" s="23">
        <f t="shared" si="40"/>
        <v>9549.7135326899897</v>
      </c>
      <c r="M395" s="17">
        <f>SUM(G395:K395)</f>
        <v>954971.35326899891</v>
      </c>
    </row>
    <row r="396" spans="1:13">
      <c r="A396" s="11">
        <v>393</v>
      </c>
      <c r="B396" s="12" t="s">
        <v>945</v>
      </c>
      <c r="C396" s="13" t="s">
        <v>946</v>
      </c>
      <c r="D396" s="13" t="s">
        <v>944</v>
      </c>
      <c r="E396" s="14">
        <v>1</v>
      </c>
      <c r="F396" s="15">
        <v>1</v>
      </c>
      <c r="G396" s="16">
        <f>E396 * F396 * 60135.197063</f>
        <v>60135.197063</v>
      </c>
      <c r="H396" s="16">
        <f t="shared" si="41"/>
        <v>0</v>
      </c>
      <c r="I396" s="16">
        <f>E396 * F396 * 0</f>
        <v>0</v>
      </c>
      <c r="J396" s="16">
        <f>E396 * F396 * 60255.467457</f>
        <v>60255.467456999999</v>
      </c>
      <c r="K396" s="16">
        <f>E396 * F396 * 21068.366291</f>
        <v>21068.366290999998</v>
      </c>
      <c r="L396" s="23">
        <f t="shared" si="40"/>
        <v>1414.5903081099998</v>
      </c>
      <c r="M396" s="17">
        <f>SUM(G396:K396)</f>
        <v>141459.03081099998</v>
      </c>
    </row>
    <row r="397" spans="1:13" ht="25.5">
      <c r="A397" s="11">
        <v>394</v>
      </c>
      <c r="B397" s="12" t="s">
        <v>947</v>
      </c>
      <c r="C397" s="13" t="s">
        <v>948</v>
      </c>
      <c r="D397" s="13" t="s">
        <v>944</v>
      </c>
      <c r="E397" s="14">
        <v>1</v>
      </c>
      <c r="F397" s="15">
        <v>1</v>
      </c>
      <c r="G397" s="16">
        <f>E397 * F397 * 105224.56</f>
        <v>105224.56</v>
      </c>
      <c r="H397" s="16">
        <f t="shared" si="41"/>
        <v>0</v>
      </c>
      <c r="I397" s="16">
        <f>E397 * F397 * 62956.3935</f>
        <v>62956.393499999998</v>
      </c>
      <c r="J397" s="16">
        <f>E397 * F397 * 120718.669829</f>
        <v>120718.66982900001</v>
      </c>
      <c r="K397" s="16">
        <f>E397 * F397 * 50557.434083</f>
        <v>50557.434083</v>
      </c>
      <c r="L397" s="23">
        <f t="shared" si="40"/>
        <v>3394.5705741200004</v>
      </c>
      <c r="M397" s="17">
        <f>SUM(G397:K397)</f>
        <v>339457.05741200002</v>
      </c>
    </row>
    <row r="398" spans="1:13">
      <c r="A398" s="11">
        <v>395</v>
      </c>
      <c r="B398" s="12" t="s">
        <v>949</v>
      </c>
      <c r="C398" s="13" t="s">
        <v>950</v>
      </c>
      <c r="D398" s="13" t="s">
        <v>951</v>
      </c>
      <c r="E398" s="14">
        <v>1</v>
      </c>
      <c r="F398" s="15">
        <v>1</v>
      </c>
      <c r="G398" s="16">
        <f>E398 * F398 * 208901.7</f>
        <v>208901.7</v>
      </c>
      <c r="H398" s="16">
        <f t="shared" si="41"/>
        <v>0</v>
      </c>
      <c r="I398" s="16">
        <f t="shared" ref="I398:I414" si="42">E398 * F398 * 0</f>
        <v>0</v>
      </c>
      <c r="J398" s="16">
        <f>E398 * F398 * 209319.5034</f>
        <v>209319.50339999999</v>
      </c>
      <c r="K398" s="16">
        <f>E398 * F398 * 73188.710595</f>
        <v>73188.710594999997</v>
      </c>
      <c r="L398" s="23">
        <f>M398/E398/F398/1000</f>
        <v>491.40991399500001</v>
      </c>
      <c r="M398" s="17">
        <f>SUM(G398:K398)</f>
        <v>491409.91399500001</v>
      </c>
    </row>
    <row r="399" spans="1:13">
      <c r="A399" s="11">
        <v>396</v>
      </c>
      <c r="B399" s="12" t="s">
        <v>952</v>
      </c>
      <c r="C399" s="13" t="s">
        <v>953</v>
      </c>
      <c r="D399" s="13" t="s">
        <v>951</v>
      </c>
      <c r="E399" s="14">
        <v>1</v>
      </c>
      <c r="F399" s="15">
        <v>1</v>
      </c>
      <c r="G399" s="16">
        <f>E399 * F399 * 77371</f>
        <v>77371</v>
      </c>
      <c r="H399" s="16">
        <f t="shared" si="41"/>
        <v>0</v>
      </c>
      <c r="I399" s="16">
        <f t="shared" si="42"/>
        <v>0</v>
      </c>
      <c r="J399" s="16">
        <f>E399 * F399 * 77525.742</f>
        <v>77525.741999999998</v>
      </c>
      <c r="K399" s="16">
        <f>E399 * F399 * 27106.92985</f>
        <v>27106.92985</v>
      </c>
      <c r="L399" s="23">
        <f t="shared" ref="L399:L401" si="43">M399/E399/F399/1000</f>
        <v>182.00367184999999</v>
      </c>
      <c r="M399" s="17">
        <f>SUM(G399:K399)</f>
        <v>182003.67184999998</v>
      </c>
    </row>
    <row r="400" spans="1:13">
      <c r="A400" s="11">
        <v>397</v>
      </c>
      <c r="B400" s="12" t="s">
        <v>954</v>
      </c>
      <c r="C400" s="13" t="s">
        <v>955</v>
      </c>
      <c r="D400" s="13" t="s">
        <v>956</v>
      </c>
      <c r="E400" s="14">
        <v>1</v>
      </c>
      <c r="F400" s="15">
        <v>1</v>
      </c>
      <c r="G400" s="16">
        <f>E400 * F400 * 43327.76</f>
        <v>43327.76</v>
      </c>
      <c r="H400" s="16">
        <f t="shared" si="41"/>
        <v>0</v>
      </c>
      <c r="I400" s="16">
        <f t="shared" si="42"/>
        <v>0</v>
      </c>
      <c r="J400" s="16">
        <f>E400 * F400 * 43414.41552</f>
        <v>43414.415520000002</v>
      </c>
      <c r="K400" s="16">
        <f>E400 * F400 * 15179.880716</f>
        <v>15179.880716</v>
      </c>
      <c r="L400" s="23">
        <f t="shared" si="43"/>
        <v>101.922056236</v>
      </c>
      <c r="M400" s="17">
        <f>SUM(G400:K400)</f>
        <v>101922.056236</v>
      </c>
    </row>
    <row r="401" spans="1:13">
      <c r="A401" s="11">
        <v>398</v>
      </c>
      <c r="B401" s="12" t="s">
        <v>957</v>
      </c>
      <c r="C401" s="13" t="s">
        <v>958</v>
      </c>
      <c r="D401" s="13" t="s">
        <v>956</v>
      </c>
      <c r="E401" s="14">
        <v>1</v>
      </c>
      <c r="F401" s="15">
        <v>1</v>
      </c>
      <c r="G401" s="16">
        <f>E401 * F401 * 406.479</f>
        <v>406.47899999999998</v>
      </c>
      <c r="H401" s="16">
        <f>E401 * F401 * 2.125802</f>
        <v>2.1258020000000002</v>
      </c>
      <c r="I401" s="16">
        <f t="shared" si="42"/>
        <v>0</v>
      </c>
      <c r="J401" s="16">
        <f>E401 * F401 * 407.291958</f>
        <v>407.29195800000002</v>
      </c>
      <c r="K401" s="16">
        <f>E401 * F401 * 142.781932999999</f>
        <v>142.78193299999899</v>
      </c>
      <c r="L401" s="23">
        <f t="shared" si="43"/>
        <v>0.95867869299999908</v>
      </c>
      <c r="M401" s="17">
        <f>SUM(G401:K401)</f>
        <v>958.67869299999904</v>
      </c>
    </row>
    <row r="402" spans="1:13">
      <c r="A402" s="11">
        <v>399</v>
      </c>
      <c r="B402" s="12" t="s">
        <v>959</v>
      </c>
      <c r="C402" s="13" t="s">
        <v>960</v>
      </c>
      <c r="D402" s="13" t="s">
        <v>961</v>
      </c>
      <c r="E402" s="14">
        <v>1</v>
      </c>
      <c r="F402" s="15">
        <v>1</v>
      </c>
      <c r="G402" s="16">
        <f>E402 * F402 * 80.777469</f>
        <v>80.777468999999996</v>
      </c>
      <c r="H402" s="16">
        <f>E402 * F402 * 34.178946</f>
        <v>34.178946000000003</v>
      </c>
      <c r="I402" s="16">
        <f t="shared" si="42"/>
        <v>0</v>
      </c>
      <c r="J402" s="16">
        <f>E402 * F402 * 80.9390239999999</f>
        <v>80.939023999999904</v>
      </c>
      <c r="K402" s="16">
        <f>E402 * F402 * 34.2817019999999</f>
        <v>34.281701999999903</v>
      </c>
      <c r="L402" s="23">
        <f>M402/E402/F402</f>
        <v>230.17714099999981</v>
      </c>
      <c r="M402" s="17">
        <f>SUM(G402:K402)</f>
        <v>230.17714099999981</v>
      </c>
    </row>
    <row r="403" spans="1:13">
      <c r="A403" s="11">
        <v>400</v>
      </c>
      <c r="B403" s="12" t="s">
        <v>962</v>
      </c>
      <c r="C403" s="13" t="s">
        <v>963</v>
      </c>
      <c r="D403" s="13" t="s">
        <v>961</v>
      </c>
      <c r="E403" s="14">
        <v>1</v>
      </c>
      <c r="F403" s="15">
        <v>1</v>
      </c>
      <c r="G403" s="16">
        <f>E403 * F403 * 67.9746</f>
        <v>67.974599999999995</v>
      </c>
      <c r="H403" s="16">
        <f>E403 * F403 * 84.27399</f>
        <v>84.273989999999998</v>
      </c>
      <c r="I403" s="16">
        <f t="shared" si="42"/>
        <v>0</v>
      </c>
      <c r="J403" s="16">
        <f>E403 * F403 * 68.1105489999999</f>
        <v>68.110548999999907</v>
      </c>
      <c r="K403" s="16">
        <f>E403 * F403 * 38.562849</f>
        <v>38.562849</v>
      </c>
      <c r="L403" s="23">
        <f t="shared" ref="L403:L425" si="44">M403/E403/F403</f>
        <v>258.92198799999989</v>
      </c>
      <c r="M403" s="17">
        <f>SUM(G403:K403)</f>
        <v>258.92198799999989</v>
      </c>
    </row>
    <row r="404" spans="1:13">
      <c r="A404" s="11">
        <v>401</v>
      </c>
      <c r="B404" s="12" t="s">
        <v>964</v>
      </c>
      <c r="C404" s="13" t="s">
        <v>965</v>
      </c>
      <c r="D404" s="13" t="s">
        <v>961</v>
      </c>
      <c r="E404" s="14">
        <v>1</v>
      </c>
      <c r="F404" s="15">
        <v>1</v>
      </c>
      <c r="G404" s="16">
        <f>E404 * F404 * 232.01998</f>
        <v>232.01998</v>
      </c>
      <c r="H404" s="16">
        <f>E404 * F404 * 63.615071</f>
        <v>63.615071</v>
      </c>
      <c r="I404" s="16">
        <f t="shared" si="42"/>
        <v>0</v>
      </c>
      <c r="J404" s="16">
        <f>E404 * F404 * 232.48402</f>
        <v>232.48401999999999</v>
      </c>
      <c r="K404" s="16">
        <f>E404 * F404 * 92.420837</f>
        <v>92.420837000000006</v>
      </c>
      <c r="L404" s="23">
        <f t="shared" si="44"/>
        <v>620.53990799999997</v>
      </c>
      <c r="M404" s="17">
        <f>SUM(G404:K404)</f>
        <v>620.53990799999997</v>
      </c>
    </row>
    <row r="405" spans="1:13">
      <c r="A405" s="11">
        <v>402</v>
      </c>
      <c r="B405" s="12" t="s">
        <v>966</v>
      </c>
      <c r="C405" s="13" t="s">
        <v>967</v>
      </c>
      <c r="D405" s="13" t="s">
        <v>968</v>
      </c>
      <c r="E405" s="14">
        <v>1</v>
      </c>
      <c r="F405" s="15">
        <v>1</v>
      </c>
      <c r="G405" s="16">
        <f>E405 * F405 * 113.517214</f>
        <v>113.517214</v>
      </c>
      <c r="H405" s="16">
        <f>E405 * F405 * 47.111478</f>
        <v>47.111477999999998</v>
      </c>
      <c r="I405" s="16">
        <f t="shared" si="42"/>
        <v>0</v>
      </c>
      <c r="J405" s="16">
        <f>E405 * F405 * 113.744249</f>
        <v>113.744249</v>
      </c>
      <c r="K405" s="16">
        <f>E405 * F405 * 48.015265</f>
        <v>48.015264999999999</v>
      </c>
      <c r="L405" s="23">
        <f t="shared" si="44"/>
        <v>322.38820599999997</v>
      </c>
      <c r="M405" s="17">
        <f>SUM(G405:K405)</f>
        <v>322.38820599999997</v>
      </c>
    </row>
    <row r="406" spans="1:13">
      <c r="A406" s="11">
        <v>403</v>
      </c>
      <c r="B406" s="12" t="s">
        <v>969</v>
      </c>
      <c r="C406" s="13" t="s">
        <v>970</v>
      </c>
      <c r="D406" s="13" t="s">
        <v>968</v>
      </c>
      <c r="E406" s="14">
        <v>1</v>
      </c>
      <c r="F406" s="15">
        <v>1</v>
      </c>
      <c r="G406" s="16">
        <f>E406 * F406 * 115.434734</f>
        <v>115.43473400000001</v>
      </c>
      <c r="H406" s="16">
        <f>E406 * F406 * 48.133183</f>
        <v>48.133183000000002</v>
      </c>
      <c r="I406" s="16">
        <f t="shared" si="42"/>
        <v>0</v>
      </c>
      <c r="J406" s="16">
        <f>E406 * F406 * 115.665604</f>
        <v>115.665604</v>
      </c>
      <c r="K406" s="16">
        <f>E406 * F406 * 48.865866</f>
        <v>48.865865999999997</v>
      </c>
      <c r="L406" s="23">
        <f t="shared" si="44"/>
        <v>328.09938699999998</v>
      </c>
      <c r="M406" s="17">
        <f>SUM(G406:K406)</f>
        <v>328.09938699999998</v>
      </c>
    </row>
    <row r="407" spans="1:13">
      <c r="A407" s="11">
        <v>404</v>
      </c>
      <c r="B407" s="12" t="s">
        <v>971</v>
      </c>
      <c r="C407" s="13" t="s">
        <v>972</v>
      </c>
      <c r="D407" s="13" t="s">
        <v>973</v>
      </c>
      <c r="E407" s="14">
        <v>1</v>
      </c>
      <c r="F407" s="15">
        <v>1</v>
      </c>
      <c r="G407" s="16">
        <f>E407 * F407 * 115.626486</f>
        <v>115.626486</v>
      </c>
      <c r="H407" s="16">
        <f>E407 * F407 * 49.448225</f>
        <v>49.448225000000001</v>
      </c>
      <c r="I407" s="16">
        <f t="shared" si="42"/>
        <v>0</v>
      </c>
      <c r="J407" s="16">
        <f>E407 * F407 * 115.857739</f>
        <v>115.857739</v>
      </c>
      <c r="K407" s="16">
        <f>E407 * F407 * 49.163179</f>
        <v>49.163179</v>
      </c>
      <c r="L407" s="23">
        <f t="shared" si="44"/>
        <v>330.09562900000003</v>
      </c>
      <c r="M407" s="17">
        <f>SUM(G407:K407)</f>
        <v>330.09562900000003</v>
      </c>
    </row>
    <row r="408" spans="1:13">
      <c r="A408" s="11">
        <v>405</v>
      </c>
      <c r="B408" s="12" t="s">
        <v>974</v>
      </c>
      <c r="C408" s="13" t="s">
        <v>975</v>
      </c>
      <c r="D408" s="13" t="s">
        <v>976</v>
      </c>
      <c r="E408" s="14">
        <v>1</v>
      </c>
      <c r="F408" s="15">
        <v>1</v>
      </c>
      <c r="G408" s="16">
        <f>E408 * F408 * 124.638832</f>
        <v>124.63883199999999</v>
      </c>
      <c r="H408" s="16">
        <f>E408 * F408 * 52.252269</f>
        <v>52.252268999999998</v>
      </c>
      <c r="I408" s="16">
        <f t="shared" si="42"/>
        <v>0</v>
      </c>
      <c r="J408" s="16">
        <f>E408 * F408 * 124.888108999999</f>
        <v>124.88810899999901</v>
      </c>
      <c r="K408" s="16">
        <f>E408 * F408 * 52.811362</f>
        <v>52.811362000000003</v>
      </c>
      <c r="L408" s="23">
        <f t="shared" si="44"/>
        <v>354.59057199999904</v>
      </c>
      <c r="M408" s="17">
        <f>SUM(G408:K408)</f>
        <v>354.59057199999904</v>
      </c>
    </row>
    <row r="409" spans="1:13">
      <c r="A409" s="11">
        <v>406</v>
      </c>
      <c r="B409" s="12" t="s">
        <v>977</v>
      </c>
      <c r="C409" s="13" t="s">
        <v>978</v>
      </c>
      <c r="D409" s="13" t="s">
        <v>979</v>
      </c>
      <c r="E409" s="14">
        <v>1</v>
      </c>
      <c r="F409" s="15">
        <v>1</v>
      </c>
      <c r="G409" s="16">
        <f>E409 * F409 * 266.53535</f>
        <v>266.53534999999999</v>
      </c>
      <c r="H409" s="16">
        <f>E409 * F409 * 48.390614</f>
        <v>48.390613999999999</v>
      </c>
      <c r="I409" s="16">
        <f t="shared" si="42"/>
        <v>0</v>
      </c>
      <c r="J409" s="16">
        <f>E409 * F409 * 267.068421</f>
        <v>267.068421</v>
      </c>
      <c r="K409" s="16">
        <f>E409 * F409 * 101.849017</f>
        <v>101.849017</v>
      </c>
      <c r="L409" s="23">
        <f t="shared" si="44"/>
        <v>683.84340199999997</v>
      </c>
      <c r="M409" s="17">
        <f>SUM(G409:K409)</f>
        <v>683.84340199999997</v>
      </c>
    </row>
    <row r="410" spans="1:13">
      <c r="A410" s="11">
        <v>407</v>
      </c>
      <c r="B410" s="12" t="s">
        <v>980</v>
      </c>
      <c r="C410" s="13" t="s">
        <v>981</v>
      </c>
      <c r="D410" s="13" t="s">
        <v>982</v>
      </c>
      <c r="E410" s="14">
        <v>1</v>
      </c>
      <c r="F410" s="15">
        <v>1</v>
      </c>
      <c r="G410" s="16">
        <f>E410 * F410 * 156.469673</f>
        <v>156.469673</v>
      </c>
      <c r="H410" s="16">
        <f>E410 * F410 * 64.020482</f>
        <v>64.020482000000001</v>
      </c>
      <c r="I410" s="16">
        <f t="shared" si="42"/>
        <v>0</v>
      </c>
      <c r="J410" s="16">
        <f>E410 * F410 * 156.782612</f>
        <v>156.782612</v>
      </c>
      <c r="K410" s="16">
        <f>E410 * F410 * 66.022735</f>
        <v>66.022734999999997</v>
      </c>
      <c r="L410" s="23">
        <f t="shared" si="44"/>
        <v>443.29550200000006</v>
      </c>
      <c r="M410" s="17">
        <f>SUM(G410:K410)</f>
        <v>443.29550200000006</v>
      </c>
    </row>
    <row r="411" spans="1:13">
      <c r="A411" s="11">
        <v>408</v>
      </c>
      <c r="B411" s="12" t="s">
        <v>983</v>
      </c>
      <c r="C411" s="13" t="s">
        <v>984</v>
      </c>
      <c r="D411" s="13" t="s">
        <v>985</v>
      </c>
      <c r="E411" s="14">
        <v>1</v>
      </c>
      <c r="F411" s="15">
        <v>1</v>
      </c>
      <c r="G411" s="16">
        <f>E411 * F411 * 181.589191</f>
        <v>181.589191</v>
      </c>
      <c r="H411" s="16">
        <f>E411 * F411 * 32.532764</f>
        <v>32.532764</v>
      </c>
      <c r="I411" s="16">
        <f t="shared" si="42"/>
        <v>0</v>
      </c>
      <c r="J411" s="16">
        <f>E411 * F411 * 181.95237</f>
        <v>181.95237</v>
      </c>
      <c r="K411" s="16">
        <f>E411 * F411 * 69.313006</f>
        <v>69.313006000000001</v>
      </c>
      <c r="L411" s="23">
        <f t="shared" si="44"/>
        <v>465.38733100000002</v>
      </c>
      <c r="M411" s="17">
        <f>SUM(G411:K411)</f>
        <v>465.38733100000002</v>
      </c>
    </row>
    <row r="412" spans="1:13">
      <c r="A412" s="11">
        <v>409</v>
      </c>
      <c r="B412" s="12" t="s">
        <v>986</v>
      </c>
      <c r="C412" s="13" t="s">
        <v>987</v>
      </c>
      <c r="D412" s="13" t="s">
        <v>985</v>
      </c>
      <c r="E412" s="14">
        <v>1</v>
      </c>
      <c r="F412" s="15">
        <v>1</v>
      </c>
      <c r="G412" s="16">
        <f>E412 * F412 * 374.683506</f>
        <v>374.68350600000002</v>
      </c>
      <c r="H412" s="16">
        <f>E412 * F412 * 66.962535</f>
        <v>66.962535000000003</v>
      </c>
      <c r="I412" s="16">
        <f t="shared" si="42"/>
        <v>0</v>
      </c>
      <c r="J412" s="16">
        <f>E412 * F412 * 375.432873</f>
        <v>375.43287299999997</v>
      </c>
      <c r="K412" s="16">
        <f>E412 * F412 * 142.98881</f>
        <v>142.98881</v>
      </c>
      <c r="L412" s="23">
        <f t="shared" si="44"/>
        <v>960.067724</v>
      </c>
      <c r="M412" s="17">
        <f>SUM(G412:K412)</f>
        <v>960.067724</v>
      </c>
    </row>
    <row r="413" spans="1:13" ht="25.5">
      <c r="A413" s="11">
        <v>410</v>
      </c>
      <c r="B413" s="12" t="s">
        <v>988</v>
      </c>
      <c r="C413" s="13" t="s">
        <v>989</v>
      </c>
      <c r="D413" s="13" t="s">
        <v>990</v>
      </c>
      <c r="E413" s="14">
        <v>1</v>
      </c>
      <c r="F413" s="15">
        <v>1</v>
      </c>
      <c r="G413" s="16">
        <f>E413 * F413 * 249.277665</f>
        <v>249.27766500000001</v>
      </c>
      <c r="H413" s="16">
        <f>E413 * F413 * 32.892305</f>
        <v>32.892305</v>
      </c>
      <c r="I413" s="16">
        <f t="shared" si="42"/>
        <v>0</v>
      </c>
      <c r="J413" s="16">
        <f>E413 * F413 * 249.776221</f>
        <v>249.77622099999999</v>
      </c>
      <c r="K413" s="16">
        <f>E413 * F413 * 93.090583</f>
        <v>93.090582999999995</v>
      </c>
      <c r="L413" s="23">
        <f t="shared" si="44"/>
        <v>625.03677400000004</v>
      </c>
      <c r="M413" s="17">
        <f>SUM(G413:K413)</f>
        <v>625.03677400000004</v>
      </c>
    </row>
    <row r="414" spans="1:13">
      <c r="A414" s="11">
        <v>411</v>
      </c>
      <c r="B414" s="12" t="s">
        <v>991</v>
      </c>
      <c r="C414" s="13" t="s">
        <v>992</v>
      </c>
      <c r="D414" s="13" t="s">
        <v>990</v>
      </c>
      <c r="E414" s="14">
        <v>1</v>
      </c>
      <c r="F414" s="15">
        <v>1</v>
      </c>
      <c r="G414" s="16">
        <f>E414 * F414 * 42.185451</f>
        <v>42.185451</v>
      </c>
      <c r="H414" s="16">
        <f>E414 * F414 * 18.285024</f>
        <v>18.285024</v>
      </c>
      <c r="I414" s="16">
        <f t="shared" si="42"/>
        <v>0</v>
      </c>
      <c r="J414" s="16">
        <f>E414 * F414 * 42.269822</f>
        <v>42.269821999999998</v>
      </c>
      <c r="K414" s="16">
        <f>E414 * F414 * 17.9795519999999</f>
        <v>17.979551999999899</v>
      </c>
      <c r="L414" s="23">
        <f t="shared" si="44"/>
        <v>120.7198489999999</v>
      </c>
      <c r="M414" s="17">
        <f>SUM(G414:K414)</f>
        <v>120.7198489999999</v>
      </c>
    </row>
    <row r="415" spans="1:13">
      <c r="A415" s="11">
        <v>412</v>
      </c>
      <c r="B415" s="12" t="s">
        <v>993</v>
      </c>
      <c r="C415" s="13" t="s">
        <v>994</v>
      </c>
      <c r="D415" s="13" t="s">
        <v>961</v>
      </c>
      <c r="E415" s="14">
        <v>1</v>
      </c>
      <c r="F415" s="15">
        <v>1</v>
      </c>
      <c r="G415" s="16">
        <f>E415 * F415 * 594.431355</f>
        <v>594.43135500000005</v>
      </c>
      <c r="H415" s="16">
        <f>E415 * F415 * 1624.077292</f>
        <v>1624.0772919999999</v>
      </c>
      <c r="I415" s="16">
        <f>E415 * F415 * 8.105734</f>
        <v>8.105734</v>
      </c>
      <c r="J415" s="16">
        <f>E415 * F415 * 595.620218</f>
        <v>595.62021800000002</v>
      </c>
      <c r="K415" s="16">
        <f>E415 * F415 * 493.891055</f>
        <v>493.89105499999999</v>
      </c>
      <c r="L415" s="23">
        <f t="shared" si="44"/>
        <v>3316.1256540000004</v>
      </c>
      <c r="M415" s="17">
        <f>SUM(G415:K415)</f>
        <v>3316.1256540000004</v>
      </c>
    </row>
    <row r="416" spans="1:13">
      <c r="A416" s="11">
        <v>413</v>
      </c>
      <c r="B416" s="12" t="s">
        <v>995</v>
      </c>
      <c r="C416" s="13" t="s">
        <v>996</v>
      </c>
      <c r="D416" s="13" t="s">
        <v>961</v>
      </c>
      <c r="E416" s="14">
        <v>1</v>
      </c>
      <c r="F416" s="15">
        <v>1</v>
      </c>
      <c r="G416" s="16">
        <f>E416 * F416 * 372.99888</f>
        <v>372.99887999999999</v>
      </c>
      <c r="H416" s="16">
        <f>E416 * F416 * 49.754101</f>
        <v>49.754100999999999</v>
      </c>
      <c r="I416" s="16">
        <f>E416 * F416 * 0</f>
        <v>0</v>
      </c>
      <c r="J416" s="16">
        <f>E416 * F416 * 373.744878</f>
        <v>373.74487800000003</v>
      </c>
      <c r="K416" s="16">
        <f>E416 * F416 * 139.387125</f>
        <v>139.387125</v>
      </c>
      <c r="L416" s="23">
        <f t="shared" si="44"/>
        <v>935.88498400000003</v>
      </c>
      <c r="M416" s="17">
        <f>SUM(G416:K416)</f>
        <v>935.88498400000003</v>
      </c>
    </row>
    <row r="417" spans="1:13">
      <c r="A417" s="11">
        <v>414</v>
      </c>
      <c r="B417" s="12" t="s">
        <v>997</v>
      </c>
      <c r="C417" s="13" t="s">
        <v>998</v>
      </c>
      <c r="D417" s="13" t="s">
        <v>968</v>
      </c>
      <c r="E417" s="14">
        <v>1</v>
      </c>
      <c r="F417" s="15">
        <v>1</v>
      </c>
      <c r="G417" s="16">
        <f>E417 * F417 * 862.884225</f>
        <v>862.88422500000001</v>
      </c>
      <c r="H417" s="16">
        <f>E417 * F417 * 796.79697</f>
        <v>796.79696999999999</v>
      </c>
      <c r="I417" s="16">
        <f>E417 * F417 * 8.105734</f>
        <v>8.105734</v>
      </c>
      <c r="J417" s="16">
        <f>E417 * F417 * 864.609993999999</f>
        <v>864.60999399999901</v>
      </c>
      <c r="K417" s="16">
        <f>E417 * F417 * 443.169460999999</f>
        <v>443.16946099999899</v>
      </c>
      <c r="L417" s="23">
        <f t="shared" si="44"/>
        <v>2975.5663839999984</v>
      </c>
      <c r="M417" s="17">
        <f>SUM(G417:K417)</f>
        <v>2975.5663839999984</v>
      </c>
    </row>
    <row r="418" spans="1:13">
      <c r="A418" s="11">
        <v>415</v>
      </c>
      <c r="B418" s="12" t="s">
        <v>999</v>
      </c>
      <c r="C418" s="13" t="s">
        <v>1000</v>
      </c>
      <c r="D418" s="13" t="s">
        <v>968</v>
      </c>
      <c r="E418" s="14">
        <v>1</v>
      </c>
      <c r="F418" s="15">
        <v>1</v>
      </c>
      <c r="G418" s="16">
        <f>E418 * F418 * 540.740781</f>
        <v>540.74078099999997</v>
      </c>
      <c r="H418" s="16">
        <f>E418 * F418 * 335.541891</f>
        <v>335.54189100000002</v>
      </c>
      <c r="I418" s="16">
        <f>E418 * F418 * 0</f>
        <v>0</v>
      </c>
      <c r="J418" s="16">
        <f>E418 * F418 * 541.822263</f>
        <v>541.82226300000002</v>
      </c>
      <c r="K418" s="16">
        <f>E418 * F418 * 248.168363</f>
        <v>248.168363</v>
      </c>
      <c r="L418" s="23">
        <f t="shared" si="44"/>
        <v>1666.2732980000001</v>
      </c>
      <c r="M418" s="17">
        <f>SUM(G418:K418)</f>
        <v>1666.2732980000001</v>
      </c>
    </row>
    <row r="419" spans="1:13">
      <c r="A419" s="11">
        <v>416</v>
      </c>
      <c r="B419" s="12" t="s">
        <v>1001</v>
      </c>
      <c r="C419" s="13" t="s">
        <v>1002</v>
      </c>
      <c r="D419" s="13" t="s">
        <v>973</v>
      </c>
      <c r="E419" s="14">
        <v>1</v>
      </c>
      <c r="F419" s="15">
        <v>1</v>
      </c>
      <c r="G419" s="16">
        <f>E419 * F419 * 402.679305</f>
        <v>402.679305</v>
      </c>
      <c r="H419" s="16">
        <f>E419 * F419 * 305.797554</f>
        <v>305.79755399999999</v>
      </c>
      <c r="I419" s="16">
        <f>E419 * F419 * 0</f>
        <v>0</v>
      </c>
      <c r="J419" s="16">
        <f>E419 * F419 * 403.484664</f>
        <v>403.48466400000001</v>
      </c>
      <c r="K419" s="16">
        <f>E419 * F419 * 194.593266</f>
        <v>194.593266</v>
      </c>
      <c r="L419" s="23">
        <f t="shared" si="44"/>
        <v>1306.554789</v>
      </c>
      <c r="M419" s="17">
        <f>SUM(G419:K419)</f>
        <v>1306.554789</v>
      </c>
    </row>
    <row r="420" spans="1:13">
      <c r="A420" s="11">
        <v>417</v>
      </c>
      <c r="B420" s="12" t="s">
        <v>1003</v>
      </c>
      <c r="C420" s="13" t="s">
        <v>1004</v>
      </c>
      <c r="D420" s="13" t="s">
        <v>976</v>
      </c>
      <c r="E420" s="14">
        <v>1</v>
      </c>
      <c r="F420" s="15">
        <v>1</v>
      </c>
      <c r="G420" s="16">
        <f>E420 * F420 * 5308.974502</f>
        <v>5308.974502</v>
      </c>
      <c r="H420" s="16">
        <f>E420 * F420 * 735.674708</f>
        <v>735.67470800000001</v>
      </c>
      <c r="I420" s="16">
        <f>E420 * F420 * 81.20112</f>
        <v>81.201120000000003</v>
      </c>
      <c r="J420" s="16">
        <f>E420 * F420 * 5319.592451</f>
        <v>5319.5924510000004</v>
      </c>
      <c r="K420" s="16">
        <f>E420 * F420 * 2002.952487</f>
        <v>2002.952487</v>
      </c>
      <c r="L420" s="23">
        <f t="shared" si="44"/>
        <v>13448.395268</v>
      </c>
      <c r="M420" s="17">
        <f>SUM(G420:K420)</f>
        <v>13448.395268</v>
      </c>
    </row>
    <row r="421" spans="1:13">
      <c r="A421" s="11">
        <v>418</v>
      </c>
      <c r="B421" s="12" t="s">
        <v>1005</v>
      </c>
      <c r="C421" s="13" t="s">
        <v>1006</v>
      </c>
      <c r="D421" s="13" t="s">
        <v>979</v>
      </c>
      <c r="E421" s="14">
        <v>1</v>
      </c>
      <c r="F421" s="15">
        <v>1</v>
      </c>
      <c r="G421" s="16">
        <f>E421 * F421 * 4968.786925</f>
        <v>4968.7869250000003</v>
      </c>
      <c r="H421" s="16">
        <f>E421 * F421 * 511.124974</f>
        <v>511.12497400000001</v>
      </c>
      <c r="I421" s="16">
        <f>E421 * F421 * 76.204128</f>
        <v>76.204127999999997</v>
      </c>
      <c r="J421" s="16">
        <f>E421 * F421 * 4978.724499</f>
        <v>4978.7244989999999</v>
      </c>
      <c r="K421" s="16">
        <f>E421 * F421 * 1843.597092</f>
        <v>1843.597092</v>
      </c>
      <c r="L421" s="23">
        <f t="shared" si="44"/>
        <v>12378.437618</v>
      </c>
      <c r="M421" s="17">
        <f>SUM(G421:K421)</f>
        <v>12378.437618</v>
      </c>
    </row>
    <row r="422" spans="1:13">
      <c r="A422" s="11">
        <v>419</v>
      </c>
      <c r="B422" s="12" t="s">
        <v>1007</v>
      </c>
      <c r="C422" s="13" t="s">
        <v>1008</v>
      </c>
      <c r="D422" s="13" t="s">
        <v>982</v>
      </c>
      <c r="E422" s="14">
        <v>1</v>
      </c>
      <c r="F422" s="15">
        <v>1</v>
      </c>
      <c r="G422" s="16">
        <f>E422 * F422 * 441.450332</f>
        <v>441.450332</v>
      </c>
      <c r="H422" s="16">
        <f>E422 * F422 * 35.468866</f>
        <v>35.468865999999998</v>
      </c>
      <c r="I422" s="16">
        <f>E422 * F422 * 0</f>
        <v>0</v>
      </c>
      <c r="J422" s="16">
        <f>E422 * F422 * 442.333232</f>
        <v>442.33323200000001</v>
      </c>
      <c r="K422" s="16">
        <f>E422 * F422 * 160.869174999999</f>
        <v>160.86917499999899</v>
      </c>
      <c r="L422" s="23">
        <f t="shared" si="44"/>
        <v>1080.1216049999989</v>
      </c>
      <c r="M422" s="17">
        <f>SUM(G422:K422)</f>
        <v>1080.1216049999989</v>
      </c>
    </row>
    <row r="423" spans="1:13">
      <c r="A423" s="11">
        <v>420</v>
      </c>
      <c r="B423" s="12" t="s">
        <v>1009</v>
      </c>
      <c r="C423" s="13" t="s">
        <v>1010</v>
      </c>
      <c r="D423" s="13" t="s">
        <v>985</v>
      </c>
      <c r="E423" s="14">
        <v>1</v>
      </c>
      <c r="F423" s="15">
        <v>1</v>
      </c>
      <c r="G423" s="16">
        <f>E423 * F423 * 2359.184676</f>
        <v>2359.1846759999999</v>
      </c>
      <c r="H423" s="16">
        <f>E423 * F423 * 399.922351</f>
        <v>399.92235099999999</v>
      </c>
      <c r="I423" s="16">
        <f>E423 * F423 * 52.052</f>
        <v>52.052</v>
      </c>
      <c r="J423" s="16">
        <f>E423 * F423 * 2363.903045</f>
        <v>2363.903045</v>
      </c>
      <c r="K423" s="16">
        <f>E423 * F423 * 905.635862</f>
        <v>905.63586199999997</v>
      </c>
      <c r="L423" s="23">
        <f t="shared" si="44"/>
        <v>6080.6979340000007</v>
      </c>
      <c r="M423" s="17">
        <f>SUM(G423:K423)</f>
        <v>6080.6979340000007</v>
      </c>
    </row>
    <row r="424" spans="1:13">
      <c r="A424" s="11">
        <v>421</v>
      </c>
      <c r="B424" s="12" t="s">
        <v>1011</v>
      </c>
      <c r="C424" s="13" t="s">
        <v>1012</v>
      </c>
      <c r="D424" s="13" t="s">
        <v>985</v>
      </c>
      <c r="E424" s="14">
        <v>1</v>
      </c>
      <c r="F424" s="15">
        <v>1</v>
      </c>
      <c r="G424" s="16">
        <f>E424 * F424 * 7005.628452</f>
        <v>7005.6284519999999</v>
      </c>
      <c r="H424" s="16">
        <f>E424 * F424 * 825.455949</f>
        <v>825.45594900000003</v>
      </c>
      <c r="I424" s="16">
        <f>E424 * F424 * 107.185478</f>
        <v>107.185478</v>
      </c>
      <c r="J424" s="16">
        <f>E424 * F424 * 7019.639709</f>
        <v>7019.639709</v>
      </c>
      <c r="K424" s="16">
        <f>E424 * F424 * 2617.634178</f>
        <v>2617.6341779999998</v>
      </c>
      <c r="L424" s="23">
        <f t="shared" si="44"/>
        <v>17575.543765999999</v>
      </c>
      <c r="M424" s="17">
        <f>SUM(G424:K424)</f>
        <v>17575.543765999999</v>
      </c>
    </row>
    <row r="425" spans="1:13" ht="25.5">
      <c r="A425" s="11">
        <v>422</v>
      </c>
      <c r="B425" s="12" t="s">
        <v>1013</v>
      </c>
      <c r="C425" s="13" t="s">
        <v>1014</v>
      </c>
      <c r="D425" s="13" t="s">
        <v>1015</v>
      </c>
      <c r="E425" s="14">
        <v>1</v>
      </c>
      <c r="F425" s="15">
        <v>1</v>
      </c>
      <c r="G425" s="16">
        <f>E425 * F425 * 191.75205</f>
        <v>191.75205</v>
      </c>
      <c r="H425" s="16">
        <f>E425 * F425 * 3461.715568</f>
        <v>3461.7155680000001</v>
      </c>
      <c r="I425" s="16">
        <f>E425 * F425 * 5.09054</f>
        <v>5.0905399999999998</v>
      </c>
      <c r="J425" s="16">
        <f>E425 * F425 * 192.135554</f>
        <v>192.13555400000001</v>
      </c>
      <c r="K425" s="16">
        <f>E425 * F425 * 673.871399</f>
        <v>673.871399</v>
      </c>
      <c r="L425" s="23">
        <f t="shared" si="44"/>
        <v>4524.5651109999999</v>
      </c>
      <c r="M425" s="17">
        <f>SUM(G425:K425)</f>
        <v>4524.5651109999999</v>
      </c>
    </row>
    <row r="426" spans="1:13" ht="25.5">
      <c r="A426" s="11">
        <v>423</v>
      </c>
      <c r="B426" s="12" t="s">
        <v>1016</v>
      </c>
      <c r="C426" s="13" t="s">
        <v>1017</v>
      </c>
      <c r="D426" s="13" t="s">
        <v>1018</v>
      </c>
      <c r="E426" s="14">
        <v>1</v>
      </c>
      <c r="F426" s="15">
        <v>1</v>
      </c>
      <c r="G426" s="16">
        <f>E426 * F426 * 27114.086261</f>
        <v>27114.086261</v>
      </c>
      <c r="H426" s="16">
        <f>E426 * F426 * 14979.310093</f>
        <v>14979.310093</v>
      </c>
      <c r="I426" s="16">
        <f t="shared" ref="I426:I450" si="45">E426 * F426 * 0</f>
        <v>0</v>
      </c>
      <c r="J426" s="16">
        <f>E426 * F426 * 27168.314434</f>
        <v>27168.314434</v>
      </c>
      <c r="K426" s="16">
        <f>E426 * F426 * 12120.799388</f>
        <v>12120.799387999999</v>
      </c>
      <c r="L426" s="23">
        <f t="shared" si="40"/>
        <v>813.82510175999994</v>
      </c>
      <c r="M426" s="17">
        <f>SUM(G426:K426)</f>
        <v>81382.510175999996</v>
      </c>
    </row>
    <row r="427" spans="1:13">
      <c r="A427" s="11">
        <v>424</v>
      </c>
      <c r="B427" s="12" t="s">
        <v>1019</v>
      </c>
      <c r="C427" s="13" t="s">
        <v>1020</v>
      </c>
      <c r="D427" s="13" t="s">
        <v>973</v>
      </c>
      <c r="E427" s="14">
        <v>1</v>
      </c>
      <c r="F427" s="15">
        <v>1</v>
      </c>
      <c r="G427" s="16">
        <f>E427 * F427 * 19.750461</f>
        <v>19.750461000000001</v>
      </c>
      <c r="H427" s="16">
        <f>E427 * F427 * 1706.549692</f>
        <v>1706.5496920000001</v>
      </c>
      <c r="I427" s="16">
        <f t="shared" si="45"/>
        <v>0</v>
      </c>
      <c r="J427" s="16">
        <f>E427 * F427 * 19.789962</f>
        <v>19.789961999999999</v>
      </c>
      <c r="K427" s="16">
        <f>E427 * F427 * 305.56577</f>
        <v>305.56576999999999</v>
      </c>
      <c r="L427" s="23">
        <f>M427/E427/F427</f>
        <v>2051.6558850000001</v>
      </c>
      <c r="M427" s="17">
        <f>SUM(G427:K427)</f>
        <v>2051.6558850000001</v>
      </c>
    </row>
    <row r="428" spans="1:13" ht="38.25">
      <c r="A428" s="11">
        <v>425</v>
      </c>
      <c r="B428" s="12" t="s">
        <v>1021</v>
      </c>
      <c r="C428" s="13" t="s">
        <v>1022</v>
      </c>
      <c r="D428" s="13" t="s">
        <v>1023</v>
      </c>
      <c r="E428" s="14">
        <v>1</v>
      </c>
      <c r="F428" s="15">
        <v>1</v>
      </c>
      <c r="G428" s="16">
        <f>E428 * F428 * 4123.1109</f>
        <v>4123.1108999999997</v>
      </c>
      <c r="H428" s="16">
        <f t="shared" ref="H428:H434" si="46">E428 * F428 * 0</f>
        <v>0</v>
      </c>
      <c r="I428" s="16">
        <f t="shared" si="45"/>
        <v>0</v>
      </c>
      <c r="J428" s="16">
        <f>E428 * F428 * 4131.357122</f>
        <v>4131.3571220000003</v>
      </c>
      <c r="K428" s="16">
        <f>E428 * F428 * 1444.531904</f>
        <v>1444.5319039999999</v>
      </c>
      <c r="L428" s="23">
        <f>M428/E428/F428/10000</f>
        <v>0.96989999260000004</v>
      </c>
      <c r="M428" s="17">
        <f>SUM(G428:K428)</f>
        <v>9698.9999260000004</v>
      </c>
    </row>
    <row r="429" spans="1:13" ht="38.25">
      <c r="A429" s="11">
        <v>426</v>
      </c>
      <c r="B429" s="12" t="s">
        <v>1024</v>
      </c>
      <c r="C429" s="13" t="s">
        <v>1025</v>
      </c>
      <c r="D429" s="13" t="s">
        <v>1023</v>
      </c>
      <c r="E429" s="14">
        <v>1</v>
      </c>
      <c r="F429" s="15">
        <v>1</v>
      </c>
      <c r="G429" s="16">
        <f>E429 * F429 * 4713.3891</f>
        <v>4713.3891000000003</v>
      </c>
      <c r="H429" s="16">
        <f t="shared" si="46"/>
        <v>0</v>
      </c>
      <c r="I429" s="16">
        <f t="shared" si="45"/>
        <v>0</v>
      </c>
      <c r="J429" s="16">
        <f>E429 * F429 * 4722.815878</f>
        <v>4722.8158780000003</v>
      </c>
      <c r="K429" s="16">
        <f>E429 * F429 * 1651.335871</f>
        <v>1651.335871</v>
      </c>
      <c r="L429" s="23">
        <f t="shared" ref="L429:L433" si="47">M429/E429/F429/10000</f>
        <v>1.1087540849000002</v>
      </c>
      <c r="M429" s="17">
        <f>SUM(G429:K429)</f>
        <v>11087.540849000001</v>
      </c>
    </row>
    <row r="430" spans="1:13" ht="38.25">
      <c r="A430" s="11">
        <v>427</v>
      </c>
      <c r="B430" s="12" t="s">
        <v>1026</v>
      </c>
      <c r="C430" s="13" t="s">
        <v>1027</v>
      </c>
      <c r="D430" s="13" t="s">
        <v>1023</v>
      </c>
      <c r="E430" s="14">
        <v>1</v>
      </c>
      <c r="F430" s="15">
        <v>1</v>
      </c>
      <c r="G430" s="16">
        <f>E430 * F430 * 5890.4109</f>
        <v>5890.4108999999999</v>
      </c>
      <c r="H430" s="16">
        <f t="shared" si="46"/>
        <v>0</v>
      </c>
      <c r="I430" s="16">
        <f t="shared" si="45"/>
        <v>0</v>
      </c>
      <c r="J430" s="16">
        <f>E430 * F430 * 5902.191722</f>
        <v>5902.1917219999996</v>
      </c>
      <c r="K430" s="16">
        <f>E430 * F430 * 2063.705459</f>
        <v>2063.7054589999998</v>
      </c>
      <c r="L430" s="23">
        <f t="shared" si="47"/>
        <v>1.3856308080999999</v>
      </c>
      <c r="M430" s="17">
        <f>SUM(G430:K430)</f>
        <v>13856.308080999999</v>
      </c>
    </row>
    <row r="431" spans="1:13" ht="38.25">
      <c r="A431" s="11">
        <v>428</v>
      </c>
      <c r="B431" s="12" t="s">
        <v>1028</v>
      </c>
      <c r="C431" s="13" t="s">
        <v>1029</v>
      </c>
      <c r="D431" s="13" t="s">
        <v>1023</v>
      </c>
      <c r="E431" s="14">
        <v>1</v>
      </c>
      <c r="F431" s="15">
        <v>1</v>
      </c>
      <c r="G431" s="16">
        <f>E431 * F431 * 125183.1609</f>
        <v>125183.1609</v>
      </c>
      <c r="H431" s="16">
        <f t="shared" si="46"/>
        <v>0</v>
      </c>
      <c r="I431" s="16">
        <f t="shared" si="45"/>
        <v>0</v>
      </c>
      <c r="J431" s="16">
        <f>E431 * F431 * 125433.527222</f>
        <v>125433.527222</v>
      </c>
      <c r="K431" s="16">
        <f>E431 * F431 * 43857.920421</f>
        <v>43857.920421000003</v>
      </c>
      <c r="L431" s="23">
        <f t="shared" si="47"/>
        <v>29.447460854300001</v>
      </c>
      <c r="M431" s="17">
        <f>SUM(G431:K431)</f>
        <v>294474.60854300001</v>
      </c>
    </row>
    <row r="432" spans="1:13" ht="38.25">
      <c r="A432" s="11">
        <v>429</v>
      </c>
      <c r="B432" s="12" t="s">
        <v>1030</v>
      </c>
      <c r="C432" s="13" t="s">
        <v>1031</v>
      </c>
      <c r="D432" s="13" t="s">
        <v>1023</v>
      </c>
      <c r="E432" s="14">
        <v>1</v>
      </c>
      <c r="F432" s="15">
        <v>1</v>
      </c>
      <c r="G432" s="16">
        <f>E432 * F432 * 131958.9891</f>
        <v>131958.98910000001</v>
      </c>
      <c r="H432" s="16">
        <f t="shared" si="46"/>
        <v>0</v>
      </c>
      <c r="I432" s="16">
        <f t="shared" si="45"/>
        <v>0</v>
      </c>
      <c r="J432" s="16">
        <f>E432 * F432 * 132222.907078</f>
        <v>132222.90707799999</v>
      </c>
      <c r="K432" s="16">
        <f>E432 * F432 * 46231.831831</f>
        <v>46231.831831000003</v>
      </c>
      <c r="L432" s="23">
        <f t="shared" si="47"/>
        <v>31.0413728009</v>
      </c>
      <c r="M432" s="17">
        <f>SUM(G432:K432)</f>
        <v>310413.72800900001</v>
      </c>
    </row>
    <row r="433" spans="1:13" ht="38.25">
      <c r="A433" s="11">
        <v>430</v>
      </c>
      <c r="B433" s="12" t="s">
        <v>1032</v>
      </c>
      <c r="C433" s="13" t="s">
        <v>1033</v>
      </c>
      <c r="D433" s="13" t="s">
        <v>1023</v>
      </c>
      <c r="E433" s="14">
        <v>1</v>
      </c>
      <c r="F433" s="15">
        <v>1</v>
      </c>
      <c r="G433" s="16">
        <f>E433 * F433 * 151399.2891</f>
        <v>151399.28909999999</v>
      </c>
      <c r="H433" s="16">
        <f t="shared" si="46"/>
        <v>0</v>
      </c>
      <c r="I433" s="16">
        <f t="shared" si="45"/>
        <v>0</v>
      </c>
      <c r="J433" s="16">
        <f>E433 * F433 * 151702.087678</f>
        <v>151702.08767800001</v>
      </c>
      <c r="K433" s="16">
        <f>E433 * F433 * 53042.740936</f>
        <v>53042.740936000002</v>
      </c>
      <c r="L433" s="23">
        <f t="shared" si="47"/>
        <v>35.614411771400007</v>
      </c>
      <c r="M433" s="17">
        <f>SUM(G433:K433)</f>
        <v>356144.11771400005</v>
      </c>
    </row>
    <row r="434" spans="1:13">
      <c r="A434" s="11">
        <v>431</v>
      </c>
      <c r="B434" s="12" t="s">
        <v>1034</v>
      </c>
      <c r="C434" s="13" t="s">
        <v>1035</v>
      </c>
      <c r="D434" s="13" t="s">
        <v>1036</v>
      </c>
      <c r="E434" s="14">
        <v>1</v>
      </c>
      <c r="F434" s="15">
        <v>1</v>
      </c>
      <c r="G434" s="16">
        <f>E434 * F434 * 147.21609</f>
        <v>147.21609000000001</v>
      </c>
      <c r="H434" s="16">
        <f t="shared" si="46"/>
        <v>0</v>
      </c>
      <c r="I434" s="16">
        <f t="shared" si="45"/>
        <v>0</v>
      </c>
      <c r="J434" s="16">
        <f>E434 * F434 * 147.510522</f>
        <v>147.51052200000001</v>
      </c>
      <c r="K434" s="16">
        <f>E434 * F434 * 51.577157</f>
        <v>51.577157</v>
      </c>
      <c r="L434" s="23">
        <f>M434/E434/F434</f>
        <v>346.30376900000005</v>
      </c>
      <c r="M434" s="17">
        <f>SUM(G434:K434)</f>
        <v>346.30376900000005</v>
      </c>
    </row>
    <row r="435" spans="1:13">
      <c r="A435" s="11">
        <v>432</v>
      </c>
      <c r="B435" s="12" t="s">
        <v>1037</v>
      </c>
      <c r="C435" s="13" t="s">
        <v>1038</v>
      </c>
      <c r="D435" s="13" t="s">
        <v>58</v>
      </c>
      <c r="E435" s="14">
        <v>1</v>
      </c>
      <c r="F435" s="15">
        <v>1</v>
      </c>
      <c r="G435" s="16">
        <f>E435 * F435 * 38.17368</f>
        <v>38.173679999999997</v>
      </c>
      <c r="H435" s="16">
        <f>E435 * F435 * 42.743765</f>
        <v>42.743765000000003</v>
      </c>
      <c r="I435" s="16">
        <f t="shared" si="45"/>
        <v>0</v>
      </c>
      <c r="J435" s="16">
        <f>E435 * F435 * 38.250027</f>
        <v>38.250027000000003</v>
      </c>
      <c r="K435" s="16">
        <f>E435 * F435 * 20.854307</f>
        <v>20.854306999999999</v>
      </c>
      <c r="L435" s="23">
        <f t="shared" si="40"/>
        <v>1.4002177900000001</v>
      </c>
      <c r="M435" s="17">
        <f>SUM(G435:K435)</f>
        <v>140.02177900000001</v>
      </c>
    </row>
    <row r="436" spans="1:13">
      <c r="A436" s="11">
        <v>433</v>
      </c>
      <c r="B436" s="12" t="s">
        <v>1039</v>
      </c>
      <c r="C436" s="13" t="s">
        <v>1040</v>
      </c>
      <c r="D436" s="13" t="s">
        <v>58</v>
      </c>
      <c r="E436" s="14">
        <v>1</v>
      </c>
      <c r="F436" s="15">
        <v>1</v>
      </c>
      <c r="G436" s="16">
        <f>E436 * F436 * 44.1825</f>
        <v>44.182499999999997</v>
      </c>
      <c r="H436" s="16">
        <f>E436 * F436 * 80.144559</f>
        <v>80.144559000000001</v>
      </c>
      <c r="I436" s="16">
        <f t="shared" si="45"/>
        <v>0</v>
      </c>
      <c r="J436" s="16">
        <f>E436 * F436 * 44.270865</f>
        <v>44.270865000000001</v>
      </c>
      <c r="K436" s="16">
        <f>E436 * F436 * 29.5046359999999</f>
        <v>29.504635999999898</v>
      </c>
      <c r="L436" s="23">
        <f t="shared" si="40"/>
        <v>1.9810255999999986</v>
      </c>
      <c r="M436" s="17">
        <f>SUM(G436:K436)</f>
        <v>198.10255999999987</v>
      </c>
    </row>
    <row r="437" spans="1:13">
      <c r="A437" s="11">
        <v>434</v>
      </c>
      <c r="B437" s="12" t="s">
        <v>1041</v>
      </c>
      <c r="C437" s="13" t="s">
        <v>1042</v>
      </c>
      <c r="D437" s="13" t="s">
        <v>58</v>
      </c>
      <c r="E437" s="14">
        <v>1</v>
      </c>
      <c r="F437" s="15">
        <v>1</v>
      </c>
      <c r="G437" s="16">
        <f>E437 * F437 * 50.067609</f>
        <v>50.067608999999997</v>
      </c>
      <c r="H437" s="16">
        <f>E437 * F437 * 80.144559</f>
        <v>80.144559000000001</v>
      </c>
      <c r="I437" s="16">
        <f t="shared" si="45"/>
        <v>0</v>
      </c>
      <c r="J437" s="16">
        <f>E437 * F437 * 50.167744</f>
        <v>50.167743999999999</v>
      </c>
      <c r="K437" s="16">
        <f>E437 * F437 * 31.566484</f>
        <v>31.566483999999999</v>
      </c>
      <c r="L437" s="23">
        <f t="shared" si="40"/>
        <v>2.11946396</v>
      </c>
      <c r="M437" s="17">
        <f>SUM(G437:K437)</f>
        <v>211.94639599999999</v>
      </c>
    </row>
    <row r="438" spans="1:13" ht="25.5">
      <c r="A438" s="11">
        <v>435</v>
      </c>
      <c r="B438" s="12" t="s">
        <v>1043</v>
      </c>
      <c r="C438" s="13" t="s">
        <v>1044</v>
      </c>
      <c r="D438" s="13" t="s">
        <v>1045</v>
      </c>
      <c r="E438" s="14">
        <v>1</v>
      </c>
      <c r="F438" s="15">
        <v>1</v>
      </c>
      <c r="G438" s="16">
        <f>E438 * F438 * 477.171</f>
        <v>477.17099999999999</v>
      </c>
      <c r="H438" s="16">
        <f>E438 * F438 * 0</f>
        <v>0</v>
      </c>
      <c r="I438" s="16">
        <f t="shared" si="45"/>
        <v>0</v>
      </c>
      <c r="J438" s="16">
        <f>E438 * F438 * 478.125342</f>
        <v>478.12534199999999</v>
      </c>
      <c r="K438" s="16">
        <f>E438 * F438 * 167.17686</f>
        <v>167.17686</v>
      </c>
      <c r="L438" s="23">
        <f t="shared" si="40"/>
        <v>11.224732019999999</v>
      </c>
      <c r="M438" s="17">
        <f>SUM(G438:K438)</f>
        <v>1122.4732019999999</v>
      </c>
    </row>
    <row r="439" spans="1:13">
      <c r="A439" s="11">
        <v>436</v>
      </c>
      <c r="B439" s="12" t="s">
        <v>1046</v>
      </c>
      <c r="C439" s="13" t="s">
        <v>1047</v>
      </c>
      <c r="D439" s="13" t="s">
        <v>1048</v>
      </c>
      <c r="E439" s="14">
        <v>1</v>
      </c>
      <c r="F439" s="15">
        <v>1</v>
      </c>
      <c r="G439" s="16">
        <f>E439 * F439 * 212.076</f>
        <v>212.07599999999999</v>
      </c>
      <c r="H439" s="16">
        <f>E439 * F439 * 0</f>
        <v>0</v>
      </c>
      <c r="I439" s="16">
        <f t="shared" si="45"/>
        <v>0</v>
      </c>
      <c r="J439" s="16">
        <f>E439 * F439 * 212.500152</f>
        <v>212.50015200000001</v>
      </c>
      <c r="K439" s="16">
        <f>E439 * F439 * 74.300826</f>
        <v>74.300826000000001</v>
      </c>
      <c r="L439" s="23">
        <f t="shared" si="40"/>
        <v>4.9887697800000002</v>
      </c>
      <c r="M439" s="17">
        <f>SUM(G439:K439)</f>
        <v>498.87697800000001</v>
      </c>
    </row>
    <row r="440" spans="1:13" ht="25.5">
      <c r="A440" s="11">
        <v>437</v>
      </c>
      <c r="B440" s="12" t="s">
        <v>1049</v>
      </c>
      <c r="C440" s="13" t="s">
        <v>1050</v>
      </c>
      <c r="D440" s="13" t="s">
        <v>65</v>
      </c>
      <c r="E440" s="14">
        <v>1</v>
      </c>
      <c r="F440" s="15">
        <v>1</v>
      </c>
      <c r="G440" s="16">
        <f>E440 * F440 * 243.8874</f>
        <v>243.88740000000001</v>
      </c>
      <c r="H440" s="16">
        <f>E440 * F440 * 0</f>
        <v>0</v>
      </c>
      <c r="I440" s="16">
        <f t="shared" si="45"/>
        <v>0</v>
      </c>
      <c r="J440" s="16">
        <f>E440 * F440 * 244.375175</f>
        <v>244.37517500000001</v>
      </c>
      <c r="K440" s="16">
        <f>E440 * F440 * 85.44595</f>
        <v>85.445949999999996</v>
      </c>
      <c r="L440" s="23">
        <f t="shared" si="40"/>
        <v>5.7370852499999998</v>
      </c>
      <c r="M440" s="17">
        <f>SUM(G440:K440)</f>
        <v>573.70852500000001</v>
      </c>
    </row>
    <row r="441" spans="1:13" ht="25.5">
      <c r="A441" s="11">
        <v>438</v>
      </c>
      <c r="B441" s="12" t="s">
        <v>1051</v>
      </c>
      <c r="C441" s="13" t="s">
        <v>1052</v>
      </c>
      <c r="D441" s="13" t="s">
        <v>65</v>
      </c>
      <c r="E441" s="14">
        <v>1</v>
      </c>
      <c r="F441" s="15">
        <v>1</v>
      </c>
      <c r="G441" s="16">
        <f>E441 * F441 * 45.06615</f>
        <v>45.06615</v>
      </c>
      <c r="H441" s="16">
        <f>E441 * F441 * 0.344527</f>
        <v>0.34452700000000003</v>
      </c>
      <c r="I441" s="16">
        <f t="shared" si="45"/>
        <v>0</v>
      </c>
      <c r="J441" s="16">
        <f>E441 * F441 * 45.156282</f>
        <v>45.156281999999997</v>
      </c>
      <c r="K441" s="16">
        <f>E441 * F441 * 15.849218</f>
        <v>15.849218</v>
      </c>
      <c r="L441" s="23">
        <f t="shared" si="40"/>
        <v>1.0641617700000001</v>
      </c>
      <c r="M441" s="17">
        <f>SUM(G441:K441)</f>
        <v>106.416177</v>
      </c>
    </row>
    <row r="442" spans="1:13" ht="25.5">
      <c r="A442" s="11">
        <v>439</v>
      </c>
      <c r="B442" s="12" t="s">
        <v>1053</v>
      </c>
      <c r="C442" s="13" t="s">
        <v>1054</v>
      </c>
      <c r="D442" s="13" t="s">
        <v>1055</v>
      </c>
      <c r="E442" s="14">
        <v>1</v>
      </c>
      <c r="F442" s="15">
        <v>1</v>
      </c>
      <c r="G442" s="16">
        <f>E442 * F442 * 92.42979</f>
        <v>92.429789999999997</v>
      </c>
      <c r="H442" s="16">
        <f>E442 * F442 * 0.43685</f>
        <v>0.43685000000000002</v>
      </c>
      <c r="I442" s="16">
        <f t="shared" si="45"/>
        <v>0</v>
      </c>
      <c r="J442" s="16">
        <f>E442 * F442 * 92.61465</f>
        <v>92.614649999999997</v>
      </c>
      <c r="K442" s="16">
        <f>E442 * F442 * 32.459226</f>
        <v>32.459226000000001</v>
      </c>
      <c r="L442" s="23">
        <f>M442/E442/F442</f>
        <v>217.940516</v>
      </c>
      <c r="M442" s="17">
        <f>SUM(G442:K442)</f>
        <v>217.940516</v>
      </c>
    </row>
    <row r="443" spans="1:13">
      <c r="A443" s="11">
        <v>440</v>
      </c>
      <c r="B443" s="12" t="s">
        <v>1056</v>
      </c>
      <c r="C443" s="13" t="s">
        <v>1057</v>
      </c>
      <c r="D443" s="13" t="s">
        <v>65</v>
      </c>
      <c r="E443" s="14">
        <v>1</v>
      </c>
      <c r="F443" s="15">
        <v>1</v>
      </c>
      <c r="G443" s="16">
        <f>E443 * F443 * 1060.38</f>
        <v>1060.3800000000001</v>
      </c>
      <c r="H443" s="16">
        <f>E443 * F443 * 0</f>
        <v>0</v>
      </c>
      <c r="I443" s="16">
        <f t="shared" si="45"/>
        <v>0</v>
      </c>
      <c r="J443" s="16">
        <f>E443 * F443 * 1062.50076</f>
        <v>1062.5007599999999</v>
      </c>
      <c r="K443" s="16">
        <f>E443 * F443 * 371.504133</f>
        <v>371.50413300000002</v>
      </c>
      <c r="L443" s="23">
        <f t="shared" si="40"/>
        <v>24.943848929999998</v>
      </c>
      <c r="M443" s="17">
        <f>SUM(G443:K443)</f>
        <v>2494.3848929999999</v>
      </c>
    </row>
    <row r="444" spans="1:13">
      <c r="A444" s="11">
        <v>441</v>
      </c>
      <c r="B444" s="12" t="s">
        <v>1058</v>
      </c>
      <c r="C444" s="13" t="s">
        <v>1059</v>
      </c>
      <c r="D444" s="13" t="s">
        <v>938</v>
      </c>
      <c r="E444" s="14">
        <v>1</v>
      </c>
      <c r="F444" s="15">
        <v>1</v>
      </c>
      <c r="G444" s="16">
        <f>E444 * F444 * 429.4539</f>
        <v>429.45389999999998</v>
      </c>
      <c r="H444" s="16">
        <f>E444 * F444 * 3.298658</f>
        <v>3.2986580000000001</v>
      </c>
      <c r="I444" s="16">
        <f t="shared" si="45"/>
        <v>0</v>
      </c>
      <c r="J444" s="16">
        <f>E444 * F444 * 430.312808</f>
        <v>430.31280800000002</v>
      </c>
      <c r="K444" s="16">
        <f>E444 * F444 * 151.036439</f>
        <v>151.036439</v>
      </c>
      <c r="L444" s="23">
        <f t="shared" si="40"/>
        <v>10.14101805</v>
      </c>
      <c r="M444" s="17">
        <f>SUM(G444:K444)</f>
        <v>1014.101805</v>
      </c>
    </row>
    <row r="445" spans="1:13">
      <c r="A445" s="11">
        <v>442</v>
      </c>
      <c r="B445" s="12" t="s">
        <v>1060</v>
      </c>
      <c r="C445" s="13" t="s">
        <v>1061</v>
      </c>
      <c r="D445" s="13" t="s">
        <v>1062</v>
      </c>
      <c r="E445" s="14">
        <v>1</v>
      </c>
      <c r="F445" s="15">
        <v>1</v>
      </c>
      <c r="G445" s="16">
        <f>E445 * F445 * 13784.94</f>
        <v>13784.94</v>
      </c>
      <c r="H445" s="16">
        <f>E445 * F445 * 0</f>
        <v>0</v>
      </c>
      <c r="I445" s="16">
        <f t="shared" si="45"/>
        <v>0</v>
      </c>
      <c r="J445" s="16">
        <f>E445 * F445 * 13812.50988</f>
        <v>13812.50988</v>
      </c>
      <c r="K445" s="16">
        <f>E445 * F445 * 4829.55372899999</f>
        <v>4829.5537289999902</v>
      </c>
      <c r="L445" s="23">
        <f t="shared" si="40"/>
        <v>324.27003608999991</v>
      </c>
      <c r="M445" s="17">
        <f>SUM(G445:K445)</f>
        <v>32427.003608999992</v>
      </c>
    </row>
    <row r="446" spans="1:13">
      <c r="A446" s="11">
        <v>443</v>
      </c>
      <c r="B446" s="12" t="s">
        <v>1063</v>
      </c>
      <c r="C446" s="13" t="s">
        <v>1064</v>
      </c>
      <c r="D446" s="13" t="s">
        <v>1065</v>
      </c>
      <c r="E446" s="14">
        <v>1</v>
      </c>
      <c r="F446" s="15">
        <v>1</v>
      </c>
      <c r="G446" s="16">
        <f>E446 * F446 * 54.496463</f>
        <v>54.496462999999999</v>
      </c>
      <c r="H446" s="16">
        <f>E446 * F446 * 0</f>
        <v>0</v>
      </c>
      <c r="I446" s="16">
        <f t="shared" si="45"/>
        <v>0</v>
      </c>
      <c r="J446" s="16">
        <f>E446 * F446 * 54.605456</f>
        <v>54.605455999999997</v>
      </c>
      <c r="K446" s="16">
        <f>E446 * F446 * 19.092836</f>
        <v>19.092835999999998</v>
      </c>
      <c r="L446" s="23">
        <f>M446/E446/F446</f>
        <v>128.19475499999999</v>
      </c>
      <c r="M446" s="17">
        <f>SUM(G446:K446)</f>
        <v>128.19475499999999</v>
      </c>
    </row>
    <row r="447" spans="1:13">
      <c r="A447" s="11">
        <v>444</v>
      </c>
      <c r="B447" s="12" t="s">
        <v>1066</v>
      </c>
      <c r="C447" s="13" t="s">
        <v>1067</v>
      </c>
      <c r="D447" s="13" t="s">
        <v>357</v>
      </c>
      <c r="E447" s="14">
        <v>1</v>
      </c>
      <c r="F447" s="15">
        <v>1</v>
      </c>
      <c r="G447" s="16">
        <f>E447 * F447 * 63.278176</f>
        <v>63.278176000000002</v>
      </c>
      <c r="H447" s="16">
        <f>E447 * F447 * 332.509166</f>
        <v>332.50916599999999</v>
      </c>
      <c r="I447" s="16">
        <f t="shared" si="45"/>
        <v>0</v>
      </c>
      <c r="J447" s="16">
        <f>E447 * F447 * 63.4047319999999</f>
        <v>63.404731999999903</v>
      </c>
      <c r="K447" s="16">
        <f>E447 * F447 * 80.3586129999999</f>
        <v>80.358612999999906</v>
      </c>
      <c r="L447" s="23">
        <f t="shared" ref="L447:L450" si="48">M447/E447/F447</f>
        <v>539.55068699999981</v>
      </c>
      <c r="M447" s="17">
        <f>SUM(G447:K447)</f>
        <v>539.55068699999981</v>
      </c>
    </row>
    <row r="448" spans="1:13">
      <c r="A448" s="11">
        <v>445</v>
      </c>
      <c r="B448" s="12" t="s">
        <v>1068</v>
      </c>
      <c r="C448" s="13" t="s">
        <v>1069</v>
      </c>
      <c r="D448" s="13" t="s">
        <v>357</v>
      </c>
      <c r="E448" s="14">
        <v>1</v>
      </c>
      <c r="F448" s="15">
        <v>1</v>
      </c>
      <c r="G448" s="16">
        <f>E448 * F448 * 45.253484</f>
        <v>45.253484</v>
      </c>
      <c r="H448" s="16">
        <f>E448 * F448 * 5.923923</f>
        <v>5.9239230000000003</v>
      </c>
      <c r="I448" s="16">
        <f t="shared" si="45"/>
        <v>0</v>
      </c>
      <c r="J448" s="16">
        <f>E448 * F448 * 45.343991</f>
        <v>45.343991000000003</v>
      </c>
      <c r="K448" s="16">
        <f>E448 * F448 * 16.8912449999999</f>
        <v>16.891244999999898</v>
      </c>
      <c r="L448" s="23">
        <f t="shared" si="48"/>
        <v>113.4126429999999</v>
      </c>
      <c r="M448" s="17">
        <f>SUM(G448:K448)</f>
        <v>113.4126429999999</v>
      </c>
    </row>
    <row r="449" spans="1:13" ht="25.5">
      <c r="A449" s="11">
        <v>446</v>
      </c>
      <c r="B449" s="12" t="s">
        <v>1070</v>
      </c>
      <c r="C449" s="13" t="s">
        <v>1071</v>
      </c>
      <c r="D449" s="13" t="s">
        <v>1072</v>
      </c>
      <c r="E449" s="14">
        <v>1</v>
      </c>
      <c r="F449" s="15">
        <v>1</v>
      </c>
      <c r="G449" s="16">
        <f>E449 * F449 * 37.896002</f>
        <v>37.896002000000003</v>
      </c>
      <c r="H449" s="16">
        <f>E449 * F449 * 92.992271</f>
        <v>92.992271000000002</v>
      </c>
      <c r="I449" s="16">
        <f t="shared" si="45"/>
        <v>0</v>
      </c>
      <c r="J449" s="16">
        <f>E449 * F449 * 37.971794</f>
        <v>37.971794000000003</v>
      </c>
      <c r="K449" s="16">
        <f>E449 * F449 * 29.5505119999999</f>
        <v>29.550511999999902</v>
      </c>
      <c r="L449" s="23">
        <f t="shared" si="48"/>
        <v>198.41057899999993</v>
      </c>
      <c r="M449" s="17">
        <f>SUM(G449:K449)</f>
        <v>198.41057899999993</v>
      </c>
    </row>
    <row r="450" spans="1:13">
      <c r="A450" s="11">
        <v>447</v>
      </c>
      <c r="B450" s="12" t="s">
        <v>1073</v>
      </c>
      <c r="C450" s="13" t="s">
        <v>1074</v>
      </c>
      <c r="D450" s="13" t="s">
        <v>1075</v>
      </c>
      <c r="E450" s="14">
        <v>1</v>
      </c>
      <c r="F450" s="15">
        <v>1</v>
      </c>
      <c r="G450" s="16">
        <f>E450 * F450 * 371.3808</f>
        <v>371.38080000000002</v>
      </c>
      <c r="H450" s="16">
        <f>E450 * F450 * 2511.159235</f>
        <v>2511.1592350000001</v>
      </c>
      <c r="I450" s="16">
        <f t="shared" si="45"/>
        <v>0</v>
      </c>
      <c r="J450" s="16">
        <f>E450 * F450 * 372.123562</f>
        <v>372.12356199999999</v>
      </c>
      <c r="K450" s="16">
        <f>E450 * F450 * 569.56613</f>
        <v>569.56613000000004</v>
      </c>
      <c r="L450" s="23">
        <f t="shared" si="48"/>
        <v>3824.2297269999999</v>
      </c>
      <c r="M450" s="17">
        <f>SUM(G450:K450)</f>
        <v>3824.2297269999999</v>
      </c>
    </row>
    <row r="451" spans="1:13">
      <c r="A451" s="11">
        <v>448</v>
      </c>
      <c r="B451" s="12" t="s">
        <v>1076</v>
      </c>
      <c r="C451" s="13" t="s">
        <v>1077</v>
      </c>
      <c r="D451" s="13" t="s">
        <v>97</v>
      </c>
      <c r="E451" s="14">
        <v>1</v>
      </c>
      <c r="F451" s="15">
        <v>1</v>
      </c>
      <c r="G451" s="16">
        <f>E451 * F451 * 20445.110786</f>
        <v>20445.110786000001</v>
      </c>
      <c r="H451" s="16">
        <f>E451 * F451 * 93268.912968</f>
        <v>93268.912968000004</v>
      </c>
      <c r="I451" s="16">
        <f>E451 * F451 * 7810.107487</f>
        <v>7810.1074870000002</v>
      </c>
      <c r="J451" s="16">
        <f>E451 * F451 * 22865.114072</f>
        <v>22865.114072</v>
      </c>
      <c r="K451" s="16">
        <f>E451 * F451 * 25268.117929</f>
        <v>25268.117929</v>
      </c>
      <c r="L451" s="23">
        <f t="shared" si="40"/>
        <v>1696.5736324200002</v>
      </c>
      <c r="M451" s="17">
        <f>SUM(G451:K451)</f>
        <v>169657.36324200002</v>
      </c>
    </row>
    <row r="452" spans="1:13">
      <c r="A452" s="11">
        <v>449</v>
      </c>
      <c r="B452" s="12" t="s">
        <v>1078</v>
      </c>
      <c r="C452" s="13" t="s">
        <v>1079</v>
      </c>
      <c r="D452" s="13" t="s">
        <v>1080</v>
      </c>
      <c r="E452" s="14">
        <v>1</v>
      </c>
      <c r="F452" s="15">
        <v>1</v>
      </c>
      <c r="G452" s="16">
        <f>E452 * F452 * 2267.368139</f>
        <v>2267.3681390000002</v>
      </c>
      <c r="H452" s="16">
        <f>E452 * F452 * 8965.280658</f>
        <v>8965.2806579999997</v>
      </c>
      <c r="I452" s="16">
        <f>E452 * F452 * 409.957184</f>
        <v>409.95718399999998</v>
      </c>
      <c r="J452" s="16">
        <f>E452 * F452 * 2465.170559</f>
        <v>2465.1705590000001</v>
      </c>
      <c r="K452" s="16">
        <f>E452 * F452 * 2468.860895</f>
        <v>2468.8608949999998</v>
      </c>
      <c r="L452" s="23">
        <f>M452/E452/F452/10</f>
        <v>1657.6637435</v>
      </c>
      <c r="M452" s="17">
        <f>SUM(G452:K452)</f>
        <v>16576.637435000001</v>
      </c>
    </row>
    <row r="453" spans="1:13">
      <c r="A453" s="11">
        <v>450</v>
      </c>
      <c r="B453" s="12" t="s">
        <v>1081</v>
      </c>
      <c r="C453" s="13" t="s">
        <v>1082</v>
      </c>
      <c r="D453" s="13" t="s">
        <v>1083</v>
      </c>
      <c r="E453" s="14">
        <v>1</v>
      </c>
      <c r="F453" s="15">
        <v>1</v>
      </c>
      <c r="G453" s="16">
        <f>E453 * F453 * 1544.106269</f>
        <v>1544.1062690000001</v>
      </c>
      <c r="H453" s="16">
        <f>E453 * F453 * 63.894442</f>
        <v>63.894441999999998</v>
      </c>
      <c r="I453" s="16">
        <f>E453 * F453 * 578.177509</f>
        <v>578.17750899999999</v>
      </c>
      <c r="J453" s="16">
        <f>E453 * F453 * 1819.839964</f>
        <v>1819.839964</v>
      </c>
      <c r="K453" s="16">
        <f>E453 * F453 * 701.053182</f>
        <v>701.05318199999999</v>
      </c>
      <c r="L453" s="23">
        <f t="shared" ref="L453:L469" si="49">M453/E453/F453/100</f>
        <v>47.070713660000003</v>
      </c>
      <c r="M453" s="17">
        <f>SUM(G453:K453)</f>
        <v>4707.0713660000001</v>
      </c>
    </row>
    <row r="454" spans="1:13">
      <c r="A454" s="11">
        <v>451</v>
      </c>
      <c r="B454" s="12" t="s">
        <v>1084</v>
      </c>
      <c r="C454" s="13" t="s">
        <v>1085</v>
      </c>
      <c r="D454" s="13" t="s">
        <v>97</v>
      </c>
      <c r="E454" s="14">
        <v>1</v>
      </c>
      <c r="F454" s="15">
        <v>1</v>
      </c>
      <c r="G454" s="16">
        <f>E454 * F454 * 1603.336092</f>
        <v>1603.336092</v>
      </c>
      <c r="H454" s="16">
        <f>E454 * F454 * 1063.454024</f>
        <v>1063.4540239999999</v>
      </c>
      <c r="I454" s="16">
        <f t="shared" ref="I454:I469" si="50">E454 * F454 * 0</f>
        <v>0</v>
      </c>
      <c r="J454" s="16">
        <f>E454 * F454 * 1606.542764</f>
        <v>1606.542764</v>
      </c>
      <c r="K454" s="16">
        <f>E454 * F454 * 747.833253999999</f>
        <v>747.83325399999899</v>
      </c>
      <c r="L454" s="23">
        <f t="shared" si="49"/>
        <v>50.211661339999992</v>
      </c>
      <c r="M454" s="17">
        <f>SUM(G454:K454)</f>
        <v>5021.1661339999991</v>
      </c>
    </row>
    <row r="455" spans="1:13">
      <c r="A455" s="11">
        <v>452</v>
      </c>
      <c r="B455" s="12" t="s">
        <v>1086</v>
      </c>
      <c r="C455" s="13" t="s">
        <v>1087</v>
      </c>
      <c r="D455" s="13" t="s">
        <v>97</v>
      </c>
      <c r="E455" s="14">
        <v>1</v>
      </c>
      <c r="F455" s="15">
        <v>1</v>
      </c>
      <c r="G455" s="16">
        <f>E455 * F455 * 32098.9123</f>
        <v>32098.9123</v>
      </c>
      <c r="H455" s="16">
        <f>E455 * F455 * 251115.92352</f>
        <v>251115.92352000001</v>
      </c>
      <c r="I455" s="16">
        <f t="shared" si="50"/>
        <v>0</v>
      </c>
      <c r="J455" s="16">
        <f>E455 * F455 * 32163.110125</f>
        <v>32163.110124999999</v>
      </c>
      <c r="K455" s="16">
        <f>E455 * F455 * 55191.14054</f>
        <v>55191.14054</v>
      </c>
      <c r="L455" s="23">
        <f t="shared" si="49"/>
        <v>3705.6908648500003</v>
      </c>
      <c r="M455" s="17">
        <f>SUM(G455:K455)</f>
        <v>370569.08648500004</v>
      </c>
    </row>
    <row r="456" spans="1:13">
      <c r="A456" s="11">
        <v>453</v>
      </c>
      <c r="B456" s="12" t="s">
        <v>1088</v>
      </c>
      <c r="C456" s="13" t="s">
        <v>1089</v>
      </c>
      <c r="D456" s="13" t="s">
        <v>961</v>
      </c>
      <c r="E456" s="14">
        <v>1</v>
      </c>
      <c r="F456" s="15">
        <v>1</v>
      </c>
      <c r="G456" s="16">
        <f>E456 * F456 * 695.87791</f>
        <v>695.87791000000004</v>
      </c>
      <c r="H456" s="16">
        <f>E456 * F456 * 11081.664</f>
        <v>11081.664000000001</v>
      </c>
      <c r="I456" s="16">
        <f t="shared" si="50"/>
        <v>0</v>
      </c>
      <c r="J456" s="16">
        <f>E456 * F456 * 697.269665999999</f>
        <v>697.26966599999901</v>
      </c>
      <c r="K456" s="16">
        <f>E456 * F456 * 2183.092026</f>
        <v>2183.0920259999998</v>
      </c>
      <c r="L456" s="23">
        <f>M456/E456/F456</f>
        <v>14657.903601999999</v>
      </c>
      <c r="M456" s="17">
        <f>SUM(G456:K456)</f>
        <v>14657.903601999999</v>
      </c>
    </row>
    <row r="457" spans="1:13">
      <c r="A457" s="11">
        <v>454</v>
      </c>
      <c r="B457" s="12" t="s">
        <v>1090</v>
      </c>
      <c r="C457" s="13" t="s">
        <v>1091</v>
      </c>
      <c r="D457" s="13" t="s">
        <v>961</v>
      </c>
      <c r="E457" s="14">
        <v>1</v>
      </c>
      <c r="F457" s="15">
        <v>1</v>
      </c>
      <c r="G457" s="16">
        <f>E457 * F457 * 695.87791</f>
        <v>695.87791000000004</v>
      </c>
      <c r="H457" s="16">
        <f>E457 * F457 * 12814.02936</f>
        <v>12814.02936</v>
      </c>
      <c r="I457" s="16">
        <f t="shared" si="50"/>
        <v>0</v>
      </c>
      <c r="J457" s="16">
        <f>E457 * F457 * 697.269665999999</f>
        <v>697.26966599999901</v>
      </c>
      <c r="K457" s="16">
        <f>E457 * F457 * 2486.255964</f>
        <v>2486.2559639999999</v>
      </c>
      <c r="L457" s="23">
        <f t="shared" ref="L457:L468" si="51">M457/E457/F457</f>
        <v>16693.4329</v>
      </c>
      <c r="M457" s="17">
        <f>SUM(G457:K457)</f>
        <v>16693.4329</v>
      </c>
    </row>
    <row r="458" spans="1:13">
      <c r="A458" s="11">
        <v>455</v>
      </c>
      <c r="B458" s="12" t="s">
        <v>1092</v>
      </c>
      <c r="C458" s="13" t="s">
        <v>1093</v>
      </c>
      <c r="D458" s="13" t="s">
        <v>961</v>
      </c>
      <c r="E458" s="14">
        <v>1</v>
      </c>
      <c r="F458" s="15">
        <v>1</v>
      </c>
      <c r="G458" s="16">
        <f>E458 * F458 * 695.87791</f>
        <v>695.87791000000004</v>
      </c>
      <c r="H458" s="16">
        <f>E458 * F458 * 21106.61388</f>
        <v>21106.613880000001</v>
      </c>
      <c r="I458" s="16">
        <f t="shared" si="50"/>
        <v>0</v>
      </c>
      <c r="J458" s="16">
        <f>E458 * F458 * 697.269665999999</f>
        <v>697.26966599999901</v>
      </c>
      <c r="K458" s="16">
        <f>E458 * F458 * 3937.458255</f>
        <v>3937.458255</v>
      </c>
      <c r="L458" s="23">
        <f t="shared" si="51"/>
        <v>26437.219711000002</v>
      </c>
      <c r="M458" s="17">
        <f>SUM(G458:K458)</f>
        <v>26437.219711000002</v>
      </c>
    </row>
    <row r="459" spans="1:13">
      <c r="A459" s="11">
        <v>456</v>
      </c>
      <c r="B459" s="12" t="s">
        <v>1094</v>
      </c>
      <c r="C459" s="13" t="s">
        <v>1095</v>
      </c>
      <c r="D459" s="13" t="s">
        <v>968</v>
      </c>
      <c r="E459" s="14">
        <v>1</v>
      </c>
      <c r="F459" s="15">
        <v>1</v>
      </c>
      <c r="G459" s="16">
        <f>E459 * F459 * 997.704473</f>
        <v>997.70447300000001</v>
      </c>
      <c r="H459" s="16">
        <f>E459 * F459 * 22632.966082</f>
        <v>22632.966081999999</v>
      </c>
      <c r="I459" s="16">
        <f t="shared" si="50"/>
        <v>0</v>
      </c>
      <c r="J459" s="16">
        <f>E459 * F459 * 999.699882</f>
        <v>999.699882</v>
      </c>
      <c r="K459" s="16">
        <f>E459 * F459 * 4310.314827</f>
        <v>4310.3148270000002</v>
      </c>
      <c r="L459" s="23">
        <f t="shared" si="51"/>
        <v>28940.685264</v>
      </c>
      <c r="M459" s="17">
        <f>SUM(G459:K459)</f>
        <v>28940.685264</v>
      </c>
    </row>
    <row r="460" spans="1:13">
      <c r="A460" s="11">
        <v>457</v>
      </c>
      <c r="B460" s="12" t="s">
        <v>1096</v>
      </c>
      <c r="C460" s="13" t="s">
        <v>1097</v>
      </c>
      <c r="D460" s="13" t="s">
        <v>968</v>
      </c>
      <c r="E460" s="14">
        <v>1</v>
      </c>
      <c r="F460" s="15">
        <v>1</v>
      </c>
      <c r="G460" s="16">
        <f>E460 * F460 * 1771.135041</f>
        <v>1771.135041</v>
      </c>
      <c r="H460" s="16">
        <f>E460 * F460 * 35499.833301</f>
        <v>35499.833300999999</v>
      </c>
      <c r="I460" s="16">
        <f t="shared" si="50"/>
        <v>0</v>
      </c>
      <c r="J460" s="16">
        <f>E460 * F460 * 1774.677311</f>
        <v>1774.6773109999999</v>
      </c>
      <c r="K460" s="16">
        <f>E460 * F460 * 6832.987989</f>
        <v>6832.9879890000002</v>
      </c>
      <c r="L460" s="23">
        <f t="shared" si="51"/>
        <v>45878.633642000001</v>
      </c>
      <c r="M460" s="17">
        <f>SUM(G460:K460)</f>
        <v>45878.633642000001</v>
      </c>
    </row>
    <row r="461" spans="1:13">
      <c r="A461" s="11">
        <v>458</v>
      </c>
      <c r="B461" s="12" t="s">
        <v>1098</v>
      </c>
      <c r="C461" s="13" t="s">
        <v>1099</v>
      </c>
      <c r="D461" s="13" t="s">
        <v>973</v>
      </c>
      <c r="E461" s="14">
        <v>1</v>
      </c>
      <c r="F461" s="15">
        <v>1</v>
      </c>
      <c r="G461" s="16">
        <f>E461 * F461 * 1860.399597</f>
        <v>1860.3995970000001</v>
      </c>
      <c r="H461" s="16">
        <f>E461 * F461 * 3482.581041</f>
        <v>3482.5810409999999</v>
      </c>
      <c r="I461" s="16">
        <f t="shared" si="50"/>
        <v>0</v>
      </c>
      <c r="J461" s="16">
        <f>E461 * F461 * 1864.120396</f>
        <v>1864.120396</v>
      </c>
      <c r="K461" s="16">
        <f>E461 * F461 * 1261.242681</f>
        <v>1261.2426809999999</v>
      </c>
      <c r="L461" s="23">
        <f t="shared" si="51"/>
        <v>8468.3437150000009</v>
      </c>
      <c r="M461" s="17">
        <f>SUM(G461:K461)</f>
        <v>8468.3437150000009</v>
      </c>
    </row>
    <row r="462" spans="1:13">
      <c r="A462" s="11">
        <v>459</v>
      </c>
      <c r="B462" s="12" t="s">
        <v>1100</v>
      </c>
      <c r="C462" s="13" t="s">
        <v>1101</v>
      </c>
      <c r="D462" s="13" t="s">
        <v>976</v>
      </c>
      <c r="E462" s="14">
        <v>1</v>
      </c>
      <c r="F462" s="15">
        <v>1</v>
      </c>
      <c r="G462" s="16">
        <f>E462 * F462 * 1481.304468</f>
        <v>1481.304468</v>
      </c>
      <c r="H462" s="16">
        <f>E462 * F462 * 45204.984422</f>
        <v>45204.984422000001</v>
      </c>
      <c r="I462" s="16">
        <f t="shared" si="50"/>
        <v>0</v>
      </c>
      <c r="J462" s="16">
        <f>E462 * F462 * 1484.267077</f>
        <v>1484.267077</v>
      </c>
      <c r="K462" s="16">
        <f>E462 * F462 * 8429.847295</f>
        <v>8429.8472949999996</v>
      </c>
      <c r="L462" s="23">
        <f t="shared" si="51"/>
        <v>56600.403262</v>
      </c>
      <c r="M462" s="17">
        <f>SUM(G462:K462)</f>
        <v>56600.403262</v>
      </c>
    </row>
    <row r="463" spans="1:13">
      <c r="A463" s="11">
        <v>460</v>
      </c>
      <c r="B463" s="12" t="s">
        <v>1102</v>
      </c>
      <c r="C463" s="13" t="s">
        <v>1103</v>
      </c>
      <c r="D463" s="13" t="s">
        <v>979</v>
      </c>
      <c r="E463" s="14">
        <v>1</v>
      </c>
      <c r="F463" s="15">
        <v>1</v>
      </c>
      <c r="G463" s="16">
        <f>E463 * F463 * 987.536312</f>
        <v>987.53631199999995</v>
      </c>
      <c r="H463" s="16">
        <f>E463 * F463 * 19492.823275</f>
        <v>19492.823274999999</v>
      </c>
      <c r="I463" s="16">
        <f t="shared" si="50"/>
        <v>0</v>
      </c>
      <c r="J463" s="16">
        <f>E463 * F463 * 989.511383999999</f>
        <v>989.511383999999</v>
      </c>
      <c r="K463" s="16">
        <f>E463 * F463 * 3757.22742</f>
        <v>3757.2274200000002</v>
      </c>
      <c r="L463" s="23">
        <f t="shared" si="51"/>
        <v>25227.098390999996</v>
      </c>
      <c r="M463" s="17">
        <f>SUM(G463:K463)</f>
        <v>25227.098390999996</v>
      </c>
    </row>
    <row r="464" spans="1:13">
      <c r="A464" s="11">
        <v>461</v>
      </c>
      <c r="B464" s="12" t="s">
        <v>1104</v>
      </c>
      <c r="C464" s="13" t="s">
        <v>1105</v>
      </c>
      <c r="D464" s="13" t="s">
        <v>982</v>
      </c>
      <c r="E464" s="14">
        <v>1</v>
      </c>
      <c r="F464" s="15">
        <v>1</v>
      </c>
      <c r="G464" s="16">
        <f>E464 * F464 * 987.536312</f>
        <v>987.53631199999995</v>
      </c>
      <c r="H464" s="16">
        <f>E464 * F464 * 12610.715515</f>
        <v>12610.715515</v>
      </c>
      <c r="I464" s="16">
        <f t="shared" si="50"/>
        <v>0</v>
      </c>
      <c r="J464" s="16">
        <f>E464 * F464 * 989.511383999999</f>
        <v>989.511383999999</v>
      </c>
      <c r="K464" s="16">
        <f>E464 * F464 * 2552.858562</f>
        <v>2552.8585619999999</v>
      </c>
      <c r="L464" s="23">
        <f t="shared" si="51"/>
        <v>17140.621772999999</v>
      </c>
      <c r="M464" s="17">
        <f>SUM(G464:K464)</f>
        <v>17140.621772999999</v>
      </c>
    </row>
    <row r="465" spans="1:13" ht="25.5">
      <c r="A465" s="11">
        <v>462</v>
      </c>
      <c r="B465" s="12" t="s">
        <v>1106</v>
      </c>
      <c r="C465" s="13" t="s">
        <v>1107</v>
      </c>
      <c r="D465" s="13" t="s">
        <v>990</v>
      </c>
      <c r="E465" s="14">
        <v>1</v>
      </c>
      <c r="F465" s="15">
        <v>1</v>
      </c>
      <c r="G465" s="16">
        <f>E465 * F465 * 443.33074</f>
        <v>443.33073999999999</v>
      </c>
      <c r="H465" s="16">
        <f>E465 * F465 * 3468.883763</f>
        <v>3468.8837629999998</v>
      </c>
      <c r="I465" s="16">
        <f t="shared" si="50"/>
        <v>0</v>
      </c>
      <c r="J465" s="16">
        <f>E465 * F465 * 444.217401</f>
        <v>444.217401</v>
      </c>
      <c r="K465" s="16">
        <f>E465 * F465 * 762.375583</f>
        <v>762.37558300000001</v>
      </c>
      <c r="L465" s="23">
        <f t="shared" si="51"/>
        <v>5118.807487</v>
      </c>
      <c r="M465" s="17">
        <f>SUM(G465:K465)</f>
        <v>5118.807487</v>
      </c>
    </row>
    <row r="466" spans="1:13">
      <c r="A466" s="11">
        <v>463</v>
      </c>
      <c r="B466" s="12" t="s">
        <v>1108</v>
      </c>
      <c r="C466" s="13" t="s">
        <v>1109</v>
      </c>
      <c r="D466" s="13" t="s">
        <v>990</v>
      </c>
      <c r="E466" s="14">
        <v>1</v>
      </c>
      <c r="F466" s="15">
        <v>1</v>
      </c>
      <c r="G466" s="16">
        <f>E466 * F466 * 510.421689</f>
        <v>510.42168900000001</v>
      </c>
      <c r="H466" s="16">
        <f>E466 * F466 * 358.227356</f>
        <v>358.22735599999999</v>
      </c>
      <c r="I466" s="16">
        <f t="shared" si="50"/>
        <v>0</v>
      </c>
      <c r="J466" s="16">
        <f>E466 * F466 * 511.442532</f>
        <v>511.44253200000003</v>
      </c>
      <c r="K466" s="16">
        <f>E466 * F466 * 241.516026</f>
        <v>241.51602600000001</v>
      </c>
      <c r="L466" s="23">
        <f t="shared" si="51"/>
        <v>1621.6076030000002</v>
      </c>
      <c r="M466" s="17">
        <f>SUM(G466:K466)</f>
        <v>1621.6076030000002</v>
      </c>
    </row>
    <row r="467" spans="1:13">
      <c r="A467" s="11">
        <v>464</v>
      </c>
      <c r="B467" s="12" t="s">
        <v>1110</v>
      </c>
      <c r="C467" s="13" t="s">
        <v>1111</v>
      </c>
      <c r="D467" s="13" t="s">
        <v>1112</v>
      </c>
      <c r="E467" s="14">
        <v>1</v>
      </c>
      <c r="F467" s="15">
        <v>1</v>
      </c>
      <c r="G467" s="16">
        <f>E467 * F467 * 250.349953</f>
        <v>250.349953</v>
      </c>
      <c r="H467" s="16">
        <f>E467 * F467 * 1101.449068</f>
        <v>1101.4490679999999</v>
      </c>
      <c r="I467" s="16">
        <f t="shared" si="50"/>
        <v>0</v>
      </c>
      <c r="J467" s="16">
        <f>E467 * F467 * 250.850653</f>
        <v>250.85065299999999</v>
      </c>
      <c r="K467" s="16">
        <f>E467 * F467 * 280.463693</f>
        <v>280.46369299999998</v>
      </c>
      <c r="L467" s="23">
        <f t="shared" si="51"/>
        <v>1883.1133669999997</v>
      </c>
      <c r="M467" s="17">
        <f>SUM(G467:K467)</f>
        <v>1883.1133669999997</v>
      </c>
    </row>
    <row r="468" spans="1:13">
      <c r="A468" s="11">
        <v>465</v>
      </c>
      <c r="B468" s="12" t="s">
        <v>1113</v>
      </c>
      <c r="C468" s="13" t="s">
        <v>1114</v>
      </c>
      <c r="D468" s="13" t="s">
        <v>1112</v>
      </c>
      <c r="E468" s="14">
        <v>1</v>
      </c>
      <c r="F468" s="15">
        <v>1</v>
      </c>
      <c r="G468" s="16">
        <f>E468 * F468 * 424.267158</f>
        <v>424.26715799999999</v>
      </c>
      <c r="H468" s="16">
        <f>E468 * F468 * 2326.918588</f>
        <v>2326.918588</v>
      </c>
      <c r="I468" s="16">
        <f t="shared" si="50"/>
        <v>0</v>
      </c>
      <c r="J468" s="16">
        <f>E468 * F468 * 425.115692999999</f>
        <v>425.115692999999</v>
      </c>
      <c r="K468" s="16">
        <f>E468 * F468 * 555.852752</f>
        <v>555.85275200000001</v>
      </c>
      <c r="L468" s="23">
        <f t="shared" si="51"/>
        <v>3732.1541909999987</v>
      </c>
      <c r="M468" s="17">
        <f>SUM(G468:K468)</f>
        <v>3732.1541909999987</v>
      </c>
    </row>
    <row r="469" spans="1:13" ht="26.25" thickBot="1">
      <c r="A469" s="11">
        <v>466</v>
      </c>
      <c r="B469" s="12" t="s">
        <v>1115</v>
      </c>
      <c r="C469" s="13" t="s">
        <v>1116</v>
      </c>
      <c r="D469" s="13" t="s">
        <v>1117</v>
      </c>
      <c r="E469" s="14">
        <v>1</v>
      </c>
      <c r="F469" s="15">
        <v>1</v>
      </c>
      <c r="G469" s="16">
        <f>E469 * F469 * 2515.22136</f>
        <v>2515.22136</v>
      </c>
      <c r="H469" s="16">
        <f>E469 * F469 * 27805.984917</f>
        <v>27805.984917000002</v>
      </c>
      <c r="I469" s="16">
        <f t="shared" si="50"/>
        <v>0</v>
      </c>
      <c r="J469" s="16">
        <f>E469 * F469 * 2520.251803</f>
        <v>2520.2518030000001</v>
      </c>
      <c r="K469" s="16">
        <f>E469 * F469 * 5747.255164</f>
        <v>5747.2551640000001</v>
      </c>
      <c r="L469" s="23">
        <f t="shared" si="49"/>
        <v>385.88713244000007</v>
      </c>
      <c r="M469" s="17">
        <f>SUM(G469:K469)</f>
        <v>38588.713244000006</v>
      </c>
    </row>
    <row r="470" spans="1:13" s="18" customFormat="1" ht="20.100000000000001" customHeight="1" thickTop="1" thickBot="1">
      <c r="A470" s="21" t="s">
        <v>1118</v>
      </c>
      <c r="B470" s="21"/>
      <c r="C470" s="21"/>
      <c r="D470" s="21"/>
      <c r="E470" s="21"/>
      <c r="F470" s="21"/>
      <c r="G470" s="19">
        <f t="shared" ref="G470:M470" si="52">SUM(G4:G469)</f>
        <v>8991104.9093419984</v>
      </c>
      <c r="H470" s="19">
        <f t="shared" si="52"/>
        <v>23561998.210383981</v>
      </c>
      <c r="I470" s="19">
        <f t="shared" si="52"/>
        <v>490594.318432</v>
      </c>
      <c r="J470" s="19">
        <f t="shared" si="52"/>
        <v>9120425.0384119917</v>
      </c>
      <c r="K470" s="19">
        <f t="shared" si="52"/>
        <v>7378721.4322940018</v>
      </c>
      <c r="L470" s="24"/>
      <c r="M470" s="20">
        <f t="shared" si="52"/>
        <v>49542843.908863991</v>
      </c>
    </row>
    <row r="471" spans="1:13" ht="16.5" thickTop="1"/>
    <row r="472" spans="1:13" ht="47.25">
      <c r="C472" s="25" t="s">
        <v>1120</v>
      </c>
    </row>
  </sheetData>
  <mergeCells count="2">
    <mergeCell ref="A470:F470"/>
    <mergeCell ref="A1:M1"/>
  </mergeCells>
  <pageMargins left="0.11811023622047245" right="0.19685039370078741" top="0.19685039370078741" bottom="0.59055118110236227" header="0.31496062992125984" footer="0.31496062992125984"/>
  <pageSetup paperSize="9" scale="73" fitToHeight="0" orientation="portrait" horizontalDpi="4294967295" verticalDpi="4294967295" r:id="rId1"/>
  <headerFooter>
    <oddHeader>&amp;C&amp;KCCCCCC&amp;"Arial"Стоимость работ и услуг</oddHeader>
    <oddFooter>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Смета!Заголовки_для_печати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Стоимость работ и услуг</dc:title>
  <dc:subject/>
  <dc:creator/>
  <cp:keywords/>
  <dc:description/>
  <cp:lastModifiedBy/>
  <cp:lastPrinted>2024-03-20T06:13:26Z</cp:lastPrinted>
  <dcterms:created xsi:type="dcterms:W3CDTF">2024-03-20T06:13:26Z</dcterms:created>
  <dcterms:modified xsi:type="dcterms:W3CDTF">2024-03-20T06:37:23Z</dcterms:modified>
  <cp:category/>
</cp:coreProperties>
</file>