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 refMode="R1C1"/>
</workbook>
</file>

<file path=xl/sharedStrings.xml><?xml version="1.0" encoding="utf-8"?>
<sst xmlns="http://schemas.openxmlformats.org/spreadsheetml/2006/main" count="2043" uniqueCount="1224">
  <si>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</si>
  <si>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</si>
  <si>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</si>
  <si>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</si>
  <si>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</si>
  <si>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</si>
  <si>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</si>
  <si>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</si>
  <si>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</si>
  <si>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</si>
  <si>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</si>
  <si>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</si>
  <si>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работ и услуг</t>
  </si>
  <si>
    <t>Конструктивные элементы</t>
  </si>
  <si>
    <t>Усиление фундаментов цементацией</t>
  </si>
  <si>
    <t>100 м3 фундамента</t>
  </si>
  <si>
    <t>Устранение повреждений железобетонных фундаментов</t>
  </si>
  <si>
    <t>м3</t>
  </si>
  <si>
    <t>Восстановление (ремонт)  решеток на  продухах  фундамента</t>
  </si>
  <si>
    <t>100 решеток</t>
  </si>
  <si>
    <t>Восстановление (ремонт)  приямков</t>
  </si>
  <si>
    <t>кв.м. приямка</t>
  </si>
  <si>
    <t>Восстановление (ремонт) отмостки</t>
  </si>
  <si>
    <t>100 м2 отмостки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</si>
  <si>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</si>
  <si>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</si>
  <si>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Укрепление слабодержащихся кирпичей</t>
  </si>
  <si>
    <t>100 м2  отремонтированной поверхности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</si>
  <si>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</si>
  <si>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</si>
  <si>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Заделка отверстий в бетонных и железобетонных стенах и перегородках с площадью отверстий до 0,1 кв.м и глубиной до 150 мм</t>
  </si>
  <si>
    <t>Заделка отверстий в бетонных и железобетонных стенах и перегородках с площадью отверстий до 0,2 кв.м и глубиной до 100 мм</t>
  </si>
  <si>
    <t>Заделка отверстий в бетонных и железобетонных стенах и перегородках с площадью отверстий до 0,2 кв.м и глубиной до 150 мм</t>
  </si>
  <si>
    <t>Ремонт обыкновенной штукатурки  фасадов каменных стен с прорезкой рустов</t>
  </si>
  <si>
    <t>Известковое окрашивание оштукатуренных гладких фасадов</t>
  </si>
  <si>
    <t>100 м2 обработанной поверхности</t>
  </si>
  <si>
    <t>Окрашивание гладких кирпичных фасадов силикатными красками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</si>
  <si>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</si>
  <si>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</si>
  <si>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</si>
  <si>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Улучшенная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</si>
  <si>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</si>
  <si>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</si>
  <si>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Простая клеевая окраска потолков</t>
  </si>
  <si>
    <t>Улучшенная клеевая окраска потолков</t>
  </si>
  <si>
    <t>Известковая окраска ранее окрашенных поверхностей потолков</t>
  </si>
  <si>
    <t>100 кв.м</t>
  </si>
  <si>
    <t>Простая масляная окраска ранее окрашенных потолков</t>
  </si>
  <si>
    <t>Улучшенная масляная окраска ранее окрашенных потолков</t>
  </si>
  <si>
    <t>Восстановление козырьков</t>
  </si>
  <si>
    <t>кв.м.</t>
  </si>
  <si>
    <t>Восстановление организованного отвода воды с балконов, лоджий, козырьков и эркеров</t>
  </si>
  <si>
    <t>100 кв.м. фасадов</t>
  </si>
  <si>
    <t>Восстановление ограждающих решеток</t>
  </si>
  <si>
    <t>1 м. решетки</t>
  </si>
  <si>
    <t>Простая масляная окраска элементов балконов, лоджий, эркеров и козырьков с лестниц</t>
  </si>
  <si>
    <t>100 кв.м.</t>
  </si>
  <si>
    <t>Ремонт покрытия полов из керамических плиток до 10 шт. размерами 300 мм*300 мм</t>
  </si>
  <si>
    <t>10 плиток</t>
  </si>
  <si>
    <t>Ремонт покрытия полов из линолеума</t>
  </si>
  <si>
    <t>м2 отремонтированного пола</t>
  </si>
  <si>
    <t>Ремонт бетонных полов</t>
  </si>
  <si>
    <t>Ремонт поверхности цементных полов</t>
  </si>
  <si>
    <t>Выравнивание поверхности бетонных и цементных оснований под полы</t>
  </si>
  <si>
    <t>100 м2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</si>
  <si>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</si>
  <si>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</si>
  <si>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Восстановление облицовки перегородок из керамических плиток со сменой плиток в одном месте более 10 штук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</si>
  <si>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</si>
  <si>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Смена поврежденных листов асбоцементных кровель</t>
  </si>
  <si>
    <t>100 м2 сменяемого покрытия</t>
  </si>
  <si>
    <t>Постановка заплат на покрытия из кровельной стали, при размере заплат 1/4 листа</t>
  </si>
  <si>
    <t>100 заплат</t>
  </si>
  <si>
    <t>Постановка заплат на покрытия из кровельной стали, при размере заплат 1/2 листа</t>
  </si>
  <si>
    <t>Промазка свищей в покрытии из кровельной стали</t>
  </si>
  <si>
    <t>1000 свищей</t>
  </si>
  <si>
    <t>Постановка заплат на покрытия из мягкой кровли</t>
  </si>
  <si>
    <t>100 м2 заплаты</t>
  </si>
  <si>
    <t>Смена вентиляционной решетки</t>
  </si>
  <si>
    <t>10 решеток</t>
  </si>
  <si>
    <t>Ремонт продухов вентиляции</t>
  </si>
  <si>
    <t>Окраска продухов вентиляции</t>
  </si>
  <si>
    <t>Оштукатуривание поверхности дымовых труб</t>
  </si>
  <si>
    <t xml:space="preserve">100 м2 поверхности </t>
  </si>
  <si>
    <t>Смена  дефлектора</t>
  </si>
  <si>
    <t>100 дефлекторов</t>
  </si>
  <si>
    <t>Окрашивание дефлектора спецсоставом с алюминиевой пудрой</t>
  </si>
  <si>
    <t>100  м2 окрашиваемой поверхности</t>
  </si>
  <si>
    <t>Окраска масляными составами ранее окрашенных металлических лестниц и дверей на крышу за 1 раз</t>
  </si>
  <si>
    <t>Окраска деревянных лестниц и  дверей выхода на крышу</t>
  </si>
  <si>
    <t>Ремонт обыкновенной штукатурки гладких каменных фасадов отдельными местами</t>
  </si>
  <si>
    <t>Смена покрытия  парапетов или брандмауэров без обделки боковых сторон при ширине покрытия до 1 м</t>
  </si>
  <si>
    <t>100 м</t>
  </si>
  <si>
    <t>Смена покрытия  парапетов или брандмауэров с обделкой боковых сторон при ширине покрытия до 1,75 м.</t>
  </si>
  <si>
    <t>Смена покрытия   зонтов и козырьков над крыльцами и подъездами</t>
  </si>
  <si>
    <t>100 м2 объема работ</t>
  </si>
  <si>
    <t>Масляная окраска  парапетов, архитектурных деталей</t>
  </si>
  <si>
    <t>Ремонт водосточных труб с земли и подмостей</t>
  </si>
  <si>
    <t>100 м трубы</t>
  </si>
  <si>
    <t>Ремонт водосточных труб с люлек</t>
  </si>
  <si>
    <t>Смена прямых звеньев водосточных труб</t>
  </si>
  <si>
    <t>Смена воронок</t>
  </si>
  <si>
    <t>100 шт.</t>
  </si>
  <si>
    <t>Масляная окраска  водосточных труб</t>
  </si>
  <si>
    <t>Смена обделок примыканий из листовой стали к каменным стенам</t>
  </si>
  <si>
    <t>Смена обделок примыканий из листовой стали к  дымовым трубам</t>
  </si>
  <si>
    <t>100 труб</t>
  </si>
  <si>
    <t>Смена обделок примыканий из листовой стали к  вытяжным  трубам длиной до 1 м</t>
  </si>
  <si>
    <t>Масляная окраска ранее окрашенных поверхностей</t>
  </si>
  <si>
    <t>Замена обивки дверей стальным листом</t>
  </si>
  <si>
    <t>100  м2 двери</t>
  </si>
  <si>
    <t>Ремонт дверных коробок в узких каменных стенах</t>
  </si>
  <si>
    <t>10 коробок</t>
  </si>
  <si>
    <t>Ремонт дверных коробок в широких каменных стенах</t>
  </si>
  <si>
    <t>Ремонт порогов шириной 100 мм</t>
  </si>
  <si>
    <t>100 отремонтированных мест</t>
  </si>
  <si>
    <t>Ремонт порогов шириной 150 мм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</si>
  <si>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</si>
  <si>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</si>
  <si>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</si>
  <si>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</si>
  <si>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</si>
  <si>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</si>
  <si>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</si>
  <si>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</si>
  <si>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</si>
  <si>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</si>
  <si>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щеколды</t>
  </si>
  <si>
    <t>100 щеколд</t>
  </si>
  <si>
    <t>Смена замков накладных</t>
  </si>
  <si>
    <t>100 замков</t>
  </si>
  <si>
    <t>Смена замков врезных</t>
  </si>
  <si>
    <t>Восстановление (модернизация) остекления дверей</t>
  </si>
  <si>
    <t>Простая масляная окраска дверей</t>
  </si>
  <si>
    <t>Улучшенная масляная окраска дверей</t>
  </si>
  <si>
    <t>Установка дверного доводчика к металлическим дверям</t>
  </si>
  <si>
    <t>1 доводчик</t>
  </si>
  <si>
    <t>Установка дверей и заслонок в проемах подвальных и чердачных помещений</t>
  </si>
  <si>
    <t>1 полотно</t>
  </si>
  <si>
    <t>Ремонт оконных переплетов узких одинарных коробок со спаренными переплетами</t>
  </si>
  <si>
    <t>10 створок</t>
  </si>
  <si>
    <t>Ремонт оконных переплетов широких составных коробок</t>
  </si>
  <si>
    <t>Ремонт форточек</t>
  </si>
  <si>
    <t>10 форточек</t>
  </si>
  <si>
    <t>Ремонт подоконных досок</t>
  </si>
  <si>
    <t>1 м подоконной доски</t>
  </si>
  <si>
    <t>Смена оконных петель при одной сменяемой петле в створке</t>
  </si>
  <si>
    <t>Смена оконных петель при двух сменяемых петлях в створке</t>
  </si>
  <si>
    <t>Укрепление наличников оконных проемов</t>
  </si>
  <si>
    <t>Временная замена разбитого стекла фанерой</t>
  </si>
  <si>
    <t>10 кв.м.</t>
  </si>
  <si>
    <t>Смена ручки оконной</t>
  </si>
  <si>
    <t>100 ручек</t>
  </si>
  <si>
    <t>Смена задвижки</t>
  </si>
  <si>
    <t>100 задвижек</t>
  </si>
  <si>
    <t>Простая масляная окраска оконных рам</t>
  </si>
  <si>
    <t>Улучшенная масляная окраска оконных рам</t>
  </si>
  <si>
    <t>Установка водоотливов с высотой проемов до 1 м</t>
  </si>
  <si>
    <t>100 кв.м. проемов</t>
  </si>
  <si>
    <t>Установка водоотливов с высотой проемов 1-2 м</t>
  </si>
  <si>
    <t>Замена негодных деревянных жалюзей слуховых окон с изготовлением их</t>
  </si>
  <si>
    <t>1 штука</t>
  </si>
  <si>
    <t>Малый ремонт слухового окна с исправлением обшивки и переплета</t>
  </si>
  <si>
    <t>1 место</t>
  </si>
  <si>
    <t>Замена одностворных дверей на врезных шпонках</t>
  </si>
  <si>
    <t>Замена двустворных дверей на врезных шпонках</t>
  </si>
  <si>
    <t>Замена одностворных дверей на планках</t>
  </si>
  <si>
    <t>Замена двустворных дверей на планках</t>
  </si>
  <si>
    <t>Смена створок оконных переплетов узких одинарных коробок</t>
  </si>
  <si>
    <t>1 створка</t>
  </si>
  <si>
    <t>Смена створок оконных переплетов узких одинарных коробок со спаренными переплетами</t>
  </si>
  <si>
    <t>Смена створок оконных переплетов широких составных коробок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</si>
  <si>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</si>
  <si>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</si>
  <si>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Обивка дверей теплоизолирующим материалом</t>
  </si>
  <si>
    <t>100 кв.м. двери</t>
  </si>
  <si>
    <t>Проконопачивание и укрепление дверных коробок</t>
  </si>
  <si>
    <t>100 коробок</t>
  </si>
  <si>
    <t>Обивка дверей оцинкованной кровельной сталью</t>
  </si>
  <si>
    <t>Восстановление (ремонт) дверных и оконных откосов в каменных стенах</t>
  </si>
  <si>
    <t>1 кв.м. откоса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</si>
  <si>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</si>
  <si>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</si>
  <si>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Ремонт металлических косоуров  с применением дуговой сварки</t>
  </si>
  <si>
    <t>1 балка</t>
  </si>
  <si>
    <t>Оштукатуривание металлических косоуров</t>
  </si>
  <si>
    <t>100 м2 оштукатуренной поверхности</t>
  </si>
  <si>
    <t>Ремонт металлических лестничных решеток</t>
  </si>
  <si>
    <t>100 м решетки</t>
  </si>
  <si>
    <t>Укрепление стоек металлических решеток ограждения  лестниц и площадок</t>
  </si>
  <si>
    <t>100 укрепляемых  стоек</t>
  </si>
  <si>
    <t>Смена прямых  частей поручней</t>
  </si>
  <si>
    <t>Смена закругленных  частей поручней</t>
  </si>
  <si>
    <t>Изготовление прямых частей  поручня</t>
  </si>
  <si>
    <t>Изготовление  закруглений с марша на марш</t>
  </si>
  <si>
    <t>Изготовление  закруглений с марша на площадку</t>
  </si>
  <si>
    <t>Постановка заделок в тело поручней</t>
  </si>
  <si>
    <t>100 заделок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</si>
  <si>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</si>
  <si>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</si>
  <si>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Окраска масляными составами ранее окрашенных металлических решеток без рельефа за 2 раза</t>
  </si>
  <si>
    <t>Заделка трещин и мелких выбоин</t>
  </si>
  <si>
    <t>100 мест</t>
  </si>
  <si>
    <t>Заделка отбитых мест</t>
  </si>
  <si>
    <t>Заделка выбоин в каменных ступенях</t>
  </si>
  <si>
    <t>100 м2 заделанной поверхности</t>
  </si>
  <si>
    <t>Внутридомовое инженерное оборудование и технические устройства</t>
  </si>
  <si>
    <t>Ремонт стального водогрейного котла мощностью до 0,55 Гкал/ч</t>
  </si>
  <si>
    <t>котел</t>
  </si>
  <si>
    <t>Замена горелок</t>
  </si>
  <si>
    <t>Прочистка секций котла</t>
  </si>
  <si>
    <t>Смена отдельных участков трубопроводов из стальных электросварных труб  диаметром 40 мм</t>
  </si>
  <si>
    <t>100 м трубопровода</t>
  </si>
  <si>
    <t>Смена отдельных участков трубопроводов из стальных электросварных труб   диаметром 50 мм</t>
  </si>
  <si>
    <t>Смена отдельных участков трубопроводов из стальных электросварных труб   диаметром 65 мм</t>
  </si>
  <si>
    <t>Смена отдельных участков трубопроводов из стальных электросварных труб   диаметром  80 мм</t>
  </si>
  <si>
    <t>Смена отдельных участков трубопроводов из стальных электросварных труб диаметром 100 мм</t>
  </si>
  <si>
    <t>Смена отдельных участков трубопроводов из стальных электросварных труб диаметром 125 мм</t>
  </si>
  <si>
    <t>Смена отдельных участков трубопроводов из стальных электросварных труб диаметром 150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</si>
  <si>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</si>
  <si>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</si>
  <si>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</si>
  <si>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</si>
  <si>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Смена радиаторных блоков, вес радиаторного блока до 80 кг</t>
  </si>
  <si>
    <t>100 радиаторных блоков</t>
  </si>
  <si>
    <t>Смена радиаторных блоков, вес радиаторного блока свыше 80 до 160 кг</t>
  </si>
  <si>
    <t>Добавление секций к алюминиевому радиаторному блоку</t>
  </si>
  <si>
    <t>100 секций</t>
  </si>
  <si>
    <t>Добавление секций к чугунному радиаторному блоку</t>
  </si>
  <si>
    <t>Утепление трубопровода центрального отопления (водоснабжения)</t>
  </si>
  <si>
    <t>100 м2 утепленного участка</t>
  </si>
  <si>
    <t>Восстановление разрушенной тепловой изоляции шнуром асбестовым</t>
  </si>
  <si>
    <t>100 м2 восстановленного участка</t>
  </si>
  <si>
    <t>Восстановление разрушенной тепловой изоляции шнуром минераловатным</t>
  </si>
  <si>
    <t>Восстановление разрушенной тепловой изоляции минераловатными матами</t>
  </si>
  <si>
    <t>Ремонт прибора учета</t>
  </si>
  <si>
    <t>прибор</t>
  </si>
  <si>
    <t>Замена прибора учета</t>
  </si>
  <si>
    <t>Ремонт элеваторного узла с выходным проходом 50 мм</t>
  </si>
  <si>
    <t>1 узел</t>
  </si>
  <si>
    <t>Ремонт элеваторного узла с выходным проходом 80 мм</t>
  </si>
  <si>
    <t>узел</t>
  </si>
  <si>
    <t>Ремонт элеваторного узла с выходным проходом 100 мм</t>
  </si>
  <si>
    <t>Замена элеватора № 1-5</t>
  </si>
  <si>
    <t>Замена элеватора № 6-7</t>
  </si>
  <si>
    <t>Ремонт центробежных насосов</t>
  </si>
  <si>
    <t>насос</t>
  </si>
  <si>
    <t>Ремонт насосов малой мощности, диаметр патрубка 25 мм</t>
  </si>
  <si>
    <t>100 насосов</t>
  </si>
  <si>
    <t>Ремонт насосов малой мощности, диаметр патрубка 40 мм</t>
  </si>
  <si>
    <t>Ремонт насосов малой мощности, диаметр патрубка 50 мм</t>
  </si>
  <si>
    <t>Смена параллельной задвижки,  диаметром до 100 мм</t>
  </si>
  <si>
    <t>Смена параллельной задвижки,  диаметром до 150 мм</t>
  </si>
  <si>
    <t>Смена параллельной задвижки,  диаметром до 200 мм</t>
  </si>
  <si>
    <t>Снятие, прочистка и установка параллельной задвижки диаметром  100 мм</t>
  </si>
  <si>
    <t>Снятие, прочистка и установка параллельной задвижки диаметром  150 мм</t>
  </si>
  <si>
    <t>Смена кранов двойной регулировки диаметром прохода 15 мм</t>
  </si>
  <si>
    <t>100 кранов</t>
  </si>
  <si>
    <t>Смена кранов двойной регулировки диаметром прохода 19 мм</t>
  </si>
  <si>
    <t>Смена кранов двойной регулировки диаметром прохода 32 мм</t>
  </si>
  <si>
    <t>Смена вентиля диаметром до 25 мм</t>
  </si>
  <si>
    <t>100 вентилей</t>
  </si>
  <si>
    <t>Смена вентиля диаметром 25 мм</t>
  </si>
  <si>
    <t>Смена вентиля диаметром свыше 26 до 50  мм</t>
  </si>
  <si>
    <t>Установка кранов для спуска воздуха из системы, диаметр крана 15-20 мм</t>
  </si>
  <si>
    <t>Установка кранов для спуска воздуха из системы, диаметр крана 21-25 мм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</si>
  <si>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</si>
  <si>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</si>
  <si>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Установка линейных балансировочных вентилей и балансировка системы отопления, диаметром до 32 мм</t>
  </si>
  <si>
    <t>Установка линейных балансировочных вентилей и балансировка системы отопления, диаметром до 40 мм</t>
  </si>
  <si>
    <t>Установка линейных балансировочных вентилей и балансировка системы отопления, диаметром до 50 мм</t>
  </si>
  <si>
    <t>Установка прибора учета тепловой энергии, горячей воды, диаметром до 50 мм</t>
  </si>
  <si>
    <t>Установка прибора учета тепловой энергии, горячей воды, диаметром 50-100 мм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</si>
  <si>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</si>
  <si>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</si>
  <si>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Смена отдельных участков трубопроводов   водоснабжения из стальных водогазопроводных оцинкованных труб диаметром  20 мм</t>
  </si>
  <si>
    <t>Смена отдельных участков трубопроводов водоснабжения из стальных водогазопроводных оцинкованных труб диаметром  25 мм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</si>
  <si>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</si>
  <si>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</si>
  <si>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</si>
  <si>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65 мм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</si>
  <si>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</si>
  <si>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</si>
  <si>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80 мм</t>
  </si>
  <si>
    <t>Смена отдельных участков трубопроводов  водоснабжения из стальных электросварных труб диаметром 40 мм</t>
  </si>
  <si>
    <t>Смена отдельных участков трубопроводов  водоснабжения из стальных электросварных труб диаметром 50 мм</t>
  </si>
  <si>
    <t>Смена отдельных участков трубопроводов водоснабжения из стальных электросварных труб диаметром 65 мм</t>
  </si>
  <si>
    <t>Смена отдельных участков трубопроводов  водоснабжения из стальных электросварных труб диаметром 80 мм</t>
  </si>
  <si>
    <t>Замена внутренних водопроводов из стальных труб   на металлопластиковые, диаметром 20 мм</t>
  </si>
  <si>
    <t>Замена внутренних водопроводов из стальных труб   на металлопластиковые, диаметром 25 мм</t>
  </si>
  <si>
    <t>Временная заделка свищей и трещин на внутренних трубопроводах и стояках при диаметре трубопровода до 50 мм</t>
  </si>
  <si>
    <t>Временная заделка свищей и трещин на внутренних трубопроводах и стояках при диаметре трубопровода до 75 мм</t>
  </si>
  <si>
    <t>Смена сгонов у трубопроводов диаметром до 20 мм</t>
  </si>
  <si>
    <t>100 сгонов</t>
  </si>
  <si>
    <t>Смена сгонов у трубопроводов диаметром до 32 мм</t>
  </si>
  <si>
    <t>Смена сгонов у трубопроводов диаметром до 50 мм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</si>
  <si>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</si>
  <si>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</si>
  <si>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Уплотнение сгонов с применением льняной пряди или асбестового шнура (без разборки сгонов) диаметром до 32 мм</t>
  </si>
  <si>
    <t>Уплотнение сгонов с применением льняной пряди или асбестового шнура (без разборки сгонов) диаметром до 50 мм</t>
  </si>
  <si>
    <t>Уплотнение сгонов с применением ленты ФУМ (без разборки сгонов) диаметром до 50 мм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</si>
  <si>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</si>
  <si>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</si>
  <si>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Теплоизоляция сетей  горячего  водоснабжения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</si>
  <si>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</si>
  <si>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</si>
  <si>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Окраска масляными составами ранее окрашенных поверхностей  стальных труб горячего водоснабжения за 2 раза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</si>
  <si>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</si>
  <si>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</si>
  <si>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</si>
  <si>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задвижек диаметром до 50 мм</t>
  </si>
  <si>
    <t>Смена задвижек диаметром до 100 мм</t>
  </si>
  <si>
    <t>Смена задвижек диаметром до 150 мм</t>
  </si>
  <si>
    <t>Замена внутренних пожарных кранов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</si>
  <si>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</si>
  <si>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</si>
  <si>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50 мм</t>
  </si>
  <si>
    <t>Смена вертикальных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</si>
  <si>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150 мм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</si>
  <si>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</si>
  <si>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</si>
  <si>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</si>
  <si>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Подчеканка раструбов чугунных  канализационных труб диаметром до 50 мм</t>
  </si>
  <si>
    <t>100  раструбов</t>
  </si>
  <si>
    <t>Подчеканка раструбов чугунных  канализационных труб диаметром до 75 мм</t>
  </si>
  <si>
    <t>Подчеканка раструбов  чугунных  канализационных труб диаметром до 100 мм</t>
  </si>
  <si>
    <t>Подчеканка раструбов  чугунных  канализационных труб диаметром до 125 мм</t>
  </si>
  <si>
    <t>Устранение засоров внутренних канализационных трубопроводов</t>
  </si>
  <si>
    <t>Заделка стыков соединений стояков внутренних водостоков</t>
  </si>
  <si>
    <t>100 соединений</t>
  </si>
  <si>
    <t>Смена трапа чугунного диаметром 50 мм</t>
  </si>
  <si>
    <t>100 трапов</t>
  </si>
  <si>
    <t>Смена трапа чугунного диаметром 100 мм</t>
  </si>
  <si>
    <t>Набивка сальников компенсационных патрубков на стояках внутренних водостоков</t>
  </si>
  <si>
    <t>100 патрубков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</si>
  <si>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</si>
  <si>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</si>
  <si>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Очистка стальной щеткой старых чугунных труб и фасонных частей от нароста и грязи при диаметре трубопровода до 75 мм</t>
  </si>
  <si>
    <t>Очистка стальной щеткой старых чугунных труб и фасонных частей от нароста и грязи при диаметре трубопровода до 100 мм</t>
  </si>
  <si>
    <t>Окраска масляными составами ранее окрашенных поверхностей  чугунных труб за 1 раз</t>
  </si>
  <si>
    <t>Окраска масляными составами ранее окрашенных поверхностей  чугунных труб за 2 раза</t>
  </si>
  <si>
    <t>Окраска масляными составами элементов трубопровода за 1 раз</t>
  </si>
  <si>
    <t>Окраска масляными составами элементов трубопровода за 2 раза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</si>
  <si>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</si>
  <si>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</si>
  <si>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</si>
  <si>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</si>
  <si>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</si>
  <si>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</si>
  <si>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</si>
  <si>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</si>
  <si>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</si>
  <si>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</si>
  <si>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Замена магнитного пускателя</t>
  </si>
  <si>
    <t>1 пускатель</t>
  </si>
  <si>
    <t>Ремонт магнитного пускателя</t>
  </si>
  <si>
    <t>Замена шкафов и ВРУ</t>
  </si>
  <si>
    <t>1 шкаф</t>
  </si>
  <si>
    <t>Текущий ремонт электродвигателя</t>
  </si>
  <si>
    <t>1 двигатель</t>
  </si>
  <si>
    <t>Техническое  обслуживание электрического  запирающего устройства (домофон)</t>
  </si>
  <si>
    <t>1 устройство</t>
  </si>
  <si>
    <t>Замена электрического запирающего устройства (домофона)</t>
  </si>
  <si>
    <t>Ремонт, замена  внутридомовых электрических сетей</t>
  </si>
  <si>
    <t>1000 пог.м.</t>
  </si>
  <si>
    <t>Замена щитков</t>
  </si>
  <si>
    <t>1 щит</t>
  </si>
  <si>
    <t>Ремонт щитков</t>
  </si>
  <si>
    <t>Обслуживание однофазных счетчиков электроэнергии</t>
  </si>
  <si>
    <t>100 счетчиков</t>
  </si>
  <si>
    <t>Обслуживание трехфазных счетчиков электроэнергии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</si>
  <si>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</si>
  <si>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</si>
  <si>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</si>
  <si>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</si>
  <si>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Замена светильника с люминесцентными лампами</t>
  </si>
  <si>
    <t>Ремонт светильника с лампами накаливания или энергосберегающими лампами</t>
  </si>
  <si>
    <t>Ремонт светильника с люминесцентными лампами</t>
  </si>
  <si>
    <t>Замена лампы накаливания на энергосберегательную</t>
  </si>
  <si>
    <t>1 лампа</t>
  </si>
  <si>
    <t>Замена люминесцентных ламп</t>
  </si>
  <si>
    <t>100 ламп</t>
  </si>
  <si>
    <t>Ремонт штепсельных розеток и выключателей</t>
  </si>
  <si>
    <t>100 розеток (выключателей)</t>
  </si>
  <si>
    <t>Смена розеток</t>
  </si>
  <si>
    <t>Укрепление водосточных труб, колен, воронок с лестниц или подмостей</t>
  </si>
  <si>
    <t>1 ухват</t>
  </si>
  <si>
    <t>Смена стекол на двойной замазке при размере фальцев 10х15 мм</t>
  </si>
  <si>
    <t>100 м фальца</t>
  </si>
  <si>
    <t>Смена стекол на двойной замазке при размере фальцев 15х15 мм</t>
  </si>
  <si>
    <t>Смена стекол на двойной замазке при размере фальцев 15х20 мм</t>
  </si>
  <si>
    <t>Смена стекол на штапиках по замазке</t>
  </si>
  <si>
    <t>Смена стекол на штапиках без замазки</t>
  </si>
  <si>
    <t>Утепление бойлеров</t>
  </si>
  <si>
    <t xml:space="preserve">  1 м2 утепленного участка</t>
  </si>
  <si>
    <t>Оштукатуривание продухов</t>
  </si>
  <si>
    <t xml:space="preserve">  1 м2 ремонтируемой поверхности</t>
  </si>
  <si>
    <t>Перетирка штукатурки поверхностей</t>
  </si>
  <si>
    <t>Окраска  продухов</t>
  </si>
  <si>
    <t>100 м2 ремонтируемой поверхности</t>
  </si>
  <si>
    <t>Ремонт и утепление наружных водоразборных кранов и колонок</t>
  </si>
  <si>
    <t>100 колонок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</si>
  <si>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</si>
  <si>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</si>
  <si>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</si>
  <si>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</si>
  <si>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</si>
  <si>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</si>
  <si>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</si>
  <si>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</si>
  <si>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</si>
  <si>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</si>
  <si>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</si>
  <si>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</si>
  <si>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</si>
  <si>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рулонных кровель, водостоков</t>
  </si>
  <si>
    <t>Осмотр всех элементов кровель из штучных материалов, водостоков</t>
  </si>
  <si>
    <t>Осмотр системы мусороудаления</t>
  </si>
  <si>
    <t>100 пог.м. мусоропровода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</si>
  <si>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</si>
  <si>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</si>
  <si>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</si>
  <si>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</si>
  <si>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</si>
  <si>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</si>
  <si>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</si>
  <si>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</si>
  <si>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</si>
  <si>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</si>
  <si>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</si>
  <si>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</si>
  <si>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</si>
  <si>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</si>
  <si>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</si>
  <si>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</si>
  <si>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</si>
  <si>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</si>
  <si>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</si>
  <si>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</si>
  <si>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</si>
  <si>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</si>
  <si>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</si>
  <si>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</si>
  <si>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</si>
  <si>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</si>
  <si>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Притирка пробочного крана диаметром до 25 мм без снятия с места</t>
  </si>
  <si>
    <t>Притирка пробочного крана диаметром 26-32 мм без снятия с места</t>
  </si>
  <si>
    <t>Притирка пробочного крана диаметром 33-50 мм без снятия с места</t>
  </si>
  <si>
    <t>Притирка клапана вентиля диаметром до 25 мм без снятия с места</t>
  </si>
  <si>
    <t>Притирка клапана вентиля диаметром 26-32 мм без снятия с места</t>
  </si>
  <si>
    <t>Притирка клапана вентиля диаметром 33-50 мм без снятия с места</t>
  </si>
  <si>
    <t>Укрепление крючков для труб и приборов центрального отопления</t>
  </si>
  <si>
    <t>1 крепление</t>
  </si>
  <si>
    <t>Вывертывание и ввертывание радиаторной пробки</t>
  </si>
  <si>
    <t>100 пробок</t>
  </si>
  <si>
    <t>Перегруппировка секций старого радиатора при весе радиатора до 240 кг</t>
  </si>
  <si>
    <t>На каждую следующую секцию сверх первой добавлять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</si>
  <si>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</si>
  <si>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</si>
  <si>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</si>
  <si>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Ремонт кранов регулировки у радиаторных блоков</t>
  </si>
  <si>
    <t>Мелкий ремонт изоляции трубопроводов при диаметре 50 мм</t>
  </si>
  <si>
    <t>Мелкий ремонт изоляции трубопроводов при диаметре 75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</si>
  <si>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</si>
  <si>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</si>
  <si>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</si>
  <si>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</si>
  <si>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</si>
  <si>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</si>
  <si>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</si>
  <si>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</si>
  <si>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</si>
  <si>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</si>
  <si>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</si>
  <si>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</si>
  <si>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</si>
  <si>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</si>
  <si>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</si>
  <si>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</si>
  <si>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</si>
  <si>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</si>
  <si>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</si>
  <si>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</si>
  <si>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</si>
  <si>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</si>
  <si>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</si>
  <si>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Снятие (демонтаж) прибора учета тепловой энергии, диаметром до 50 мм</t>
  </si>
  <si>
    <t>Установка (монтаж) прибора учета тепловой энергии, диаметром до 50 мм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</si>
  <si>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</si>
  <si>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</si>
  <si>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11 до 30  лет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</si>
  <si>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</si>
  <si>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</si>
  <si>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</si>
  <si>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не оборудованных газовыми плитами (в год для одной смены)</t>
  </si>
  <si>
    <t>Окраска ковшей мусоропровода</t>
  </si>
  <si>
    <t>Замена отдельных элементов загрузочных клапанов</t>
  </si>
  <si>
    <t>1 клапан</t>
  </si>
  <si>
    <t>Устранение мелких неисправностей мусоропровода</t>
  </si>
  <si>
    <t>1 м мусоропровода</t>
  </si>
  <si>
    <t>Окраска ствола мусоропровода</t>
  </si>
  <si>
    <t>Санитарное содержание мест общего пользования, благоустройство придомовой территории и прочие работы</t>
  </si>
  <si>
    <t>Удаление мусора из мусороприемных камер с бункерами, расположенных на 1-ом этаже в домах до  10 этажей</t>
  </si>
  <si>
    <t>1 м3  ТБО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</si>
  <si>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</si>
  <si>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</si>
  <si>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</si>
  <si>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Уборка в домах до 10 этажей мусороприемных камер, расположенных на 1-ом этаже,  облицованных кафельной плиткой, без шланга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</si>
  <si>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</si>
  <si>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Дезинфекция всех элементов ствола мусоропровода с помощью ершей с ручными лебедками</t>
  </si>
  <si>
    <t>100 м мусоропровода</t>
  </si>
  <si>
    <t>Дезинфекция всех элементов ствола мусоропровода вручную</t>
  </si>
  <si>
    <t>Подметание  чердаков и подвалов без предварительного увлажнения</t>
  </si>
  <si>
    <t>100 м2 чердаков и подвалов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</si>
  <si>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</si>
  <si>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</si>
  <si>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</si>
  <si>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Очистка чердаков  и подвалов от строительного мусора</t>
  </si>
  <si>
    <t>100 кг строительного мусора</t>
  </si>
  <si>
    <t>Установка флажков во флагштоки</t>
  </si>
  <si>
    <t>1 флажок</t>
  </si>
  <si>
    <t>Художественное раскрашивание  фасадов  зданий и площадок</t>
  </si>
  <si>
    <t>100 м2  раскрашиваемой поверхности</t>
  </si>
  <si>
    <t>Протирка  номерных фонарей</t>
  </si>
  <si>
    <t>10 фонарей</t>
  </si>
  <si>
    <t>Протирка  номерных указателей</t>
  </si>
  <si>
    <t>10 указателей</t>
  </si>
  <si>
    <t>Известковое окрашивание оштукатуренных  фасадов с рустами  и орнаментированных</t>
  </si>
  <si>
    <t>Окрашивание гладких  кирпичных фасадов известковыми  составами</t>
  </si>
  <si>
    <t>Клеевая окраска гладких  кирпичных фасадов известковыми  составами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</si>
  <si>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</si>
  <si>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</si>
  <si>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</si>
  <si>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</si>
  <si>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</si>
  <si>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</si>
  <si>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Подметание в летний период  земельного участка с неусовершенствованным покрытием 3 класса</t>
  </si>
  <si>
    <t>Подметание в летний период  земельного участка без покрытия 1 класса</t>
  </si>
  <si>
    <t>Подметание в летний период  земельного участка без покрытия 2 класса</t>
  </si>
  <si>
    <t>Подметание в летний период  земельного участка без покрытия 3 класса</t>
  </si>
  <si>
    <t>Полив тротуаров 1 класса</t>
  </si>
  <si>
    <t>100 000 кв.м. территории</t>
  </si>
  <si>
    <t>Полив тротуаров 2 класса</t>
  </si>
  <si>
    <t>Полив тротуаров 3 класса</t>
  </si>
  <si>
    <t>Уборка газонов средней засоренности от листьев, сучьев, мусора</t>
  </si>
  <si>
    <t>Уборка газонов от случайного мусора</t>
  </si>
  <si>
    <t>100 000 м2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</si>
  <si>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</si>
  <si>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</si>
  <si>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</si>
  <si>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</si>
  <si>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</si>
  <si>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</si>
  <si>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Формовочная обрезка деревьев</t>
  </si>
  <si>
    <t>100 деревьев</t>
  </si>
  <si>
    <t>Вырезка сухих ветвей и поросли</t>
  </si>
  <si>
    <t>Обрезка под естественный вид крон деревьев</t>
  </si>
  <si>
    <t>Формирование кроны кустарников</t>
  </si>
  <si>
    <t>1000 кустов</t>
  </si>
  <si>
    <t>Обрезка под естественный вид крон кустарников</t>
  </si>
  <si>
    <t>Стрижка живой изгороди</t>
  </si>
  <si>
    <t>1000 кв.м.</t>
  </si>
  <si>
    <t>Уборка детских и спортивных площадок</t>
  </si>
  <si>
    <t>Окраска скамьи без спинки с металлическими опорами</t>
  </si>
  <si>
    <t>скамья</t>
  </si>
  <si>
    <t>Окраска скамьи без спинки с бетонными опорами</t>
  </si>
  <si>
    <t>Окраска скамьи чугунной со спинкой</t>
  </si>
  <si>
    <t>Окраска качелей-маятника</t>
  </si>
  <si>
    <t>качели</t>
  </si>
  <si>
    <t>Окраска качелей-балансира</t>
  </si>
  <si>
    <t>Окраска поверхности песочницы</t>
  </si>
  <si>
    <t>песочница</t>
  </si>
  <si>
    <t>Окраска лианы 3-х секционной</t>
  </si>
  <si>
    <t>лиана</t>
  </si>
  <si>
    <t>Окраска лестницы</t>
  </si>
  <si>
    <t>лестница</t>
  </si>
  <si>
    <t>Окраска турника</t>
  </si>
  <si>
    <t>турник</t>
  </si>
  <si>
    <t>Окраска хоккейных ворот</t>
  </si>
  <si>
    <t>ворота</t>
  </si>
  <si>
    <t>Окраска футбольных ворот</t>
  </si>
  <si>
    <t>Окраска металлических ограждений спортивных площадок</t>
  </si>
  <si>
    <t xml:space="preserve">пог.м. </t>
  </si>
  <si>
    <t>Окраска деревянных ограждений спортивных площадок</t>
  </si>
  <si>
    <t>Ремонт скамьи без спинки с металлическими опорами (скамьи чугунной со спинкой)</t>
  </si>
  <si>
    <t>Ремонт скамьи без спинки с бетонными опорами</t>
  </si>
  <si>
    <t>Ремонт качелей-маятника</t>
  </si>
  <si>
    <t>Ремонт качелей-балансира</t>
  </si>
  <si>
    <t>Ремонт песочницы</t>
  </si>
  <si>
    <t>Ремонт лианы 3-х секционной</t>
  </si>
  <si>
    <t>Ремонт лестницы</t>
  </si>
  <si>
    <t>Ремонт турника</t>
  </si>
  <si>
    <t>Ремонт хоккейных ворот</t>
  </si>
  <si>
    <t>Ремонт футбольных ворот</t>
  </si>
  <si>
    <t>Ремонт металлических ограждений спортивных площадок</t>
  </si>
  <si>
    <t>Ремонт деревянных ограждений спортивных площадок</t>
  </si>
  <si>
    <t xml:space="preserve">100 пог.м. </t>
  </si>
  <si>
    <t>Заполнение песочницы песком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</si>
  <si>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</si>
  <si>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</si>
  <si>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отсутствии снегопада на придомовой территории с усовершенствованным покрытием 2 класса</t>
  </si>
  <si>
    <t>Сдвижка и подметание снега при отсутствии снегопада на придомовой территории с усовершенствованным покрытием 3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</si>
  <si>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</si>
  <si>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территории с усовершенствованным покрытием 2 класса от наледи без обработки противогололедными реагентами</t>
  </si>
  <si>
    <t>Очистка территории с усовершенствованным покрытием 3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</si>
  <si>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</si>
  <si>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</si>
  <si>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</si>
  <si>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Посыпка территории II класса</t>
  </si>
  <si>
    <t>Посыпка территории III класса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</si>
  <si>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</si>
  <si>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</si>
  <si>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</si>
  <si>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</si>
  <si>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</si>
  <si>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</si>
  <si>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</si>
  <si>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</si>
  <si>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</si>
  <si>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</si>
  <si>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</si>
  <si>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</si>
  <si>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Прочистка водоприемной воронки внутреннего водостока</t>
  </si>
  <si>
    <t>1 воронка</t>
  </si>
  <si>
    <t>Текущий ремонт ограждений газона</t>
  </si>
  <si>
    <t>Покраска ограждений газона</t>
  </si>
  <si>
    <t>Ремонт газонов</t>
  </si>
  <si>
    <t>м2</t>
  </si>
  <si>
    <t>Ремонт цветников</t>
  </si>
  <si>
    <t>Ремонт асфальтобетонного покрытия проездов</t>
  </si>
  <si>
    <t>Ремонт тротуаров</t>
  </si>
  <si>
    <t>10 м2</t>
  </si>
  <si>
    <t>Ремонт бордюров</t>
  </si>
  <si>
    <t>10 пог.м.</t>
  </si>
  <si>
    <t>Устройство газона</t>
  </si>
  <si>
    <t>Устройство цветников</t>
  </si>
  <si>
    <t>Установка скамьи без спинки с металлическими опорами</t>
  </si>
  <si>
    <t>Установка скамьи без спинки с бетонными опорами</t>
  </si>
  <si>
    <t>Установка скамьи чугунной со спинкой</t>
  </si>
  <si>
    <t>Установка качелей-маятника</t>
  </si>
  <si>
    <t>Установка качелей-балансира</t>
  </si>
  <si>
    <t>Устройство песочницы</t>
  </si>
  <si>
    <t>Установка лианы 3-х секционной</t>
  </si>
  <si>
    <t>Установка лестницы</t>
  </si>
  <si>
    <t>Установка турника</t>
  </si>
  <si>
    <t>Установка металлических ограждений спортивных площадок</t>
  </si>
  <si>
    <t>Установка деревянных ограждений спортивных площадок</t>
  </si>
  <si>
    <t>Посадка кустарника</t>
  </si>
  <si>
    <t>кустарник</t>
  </si>
  <si>
    <t>Посадка дерева</t>
  </si>
  <si>
    <t>Ремонт окрасочной гидроизоляции цоколя (при приготовлении  мастики)</t>
  </si>
  <si>
    <t>100 м2 окрасочной поверхности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</si>
  <si>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</si>
  <si>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</si>
  <si>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</si>
  <si>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</si>
  <si>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</si>
  <si>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</si>
  <si>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</si>
  <si>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</si>
  <si>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</si>
  <si>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</si>
  <si>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</si>
  <si>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Бетонщик 2 разряда</t>
  </si>
  <si>
    <t>Бетонщик 3 разряда</t>
  </si>
  <si>
    <t>Бетонщик 4 разряда</t>
  </si>
  <si>
    <t>Дворник 1 разряда</t>
  </si>
  <si>
    <t>Дорожный рабочий 3 разряда</t>
  </si>
  <si>
    <t>Изолировщик на гидроизоляции 3 разряда</t>
  </si>
  <si>
    <t>Изолировщик на термоизоляции 2 разряда</t>
  </si>
  <si>
    <t>Изолировщик на термоизоляции 3 разряда</t>
  </si>
  <si>
    <t>Каменщик 2 разряда</t>
  </si>
  <si>
    <t>Каменщик 3 разряда</t>
  </si>
  <si>
    <t>Каменщик 3.1 разряда</t>
  </si>
  <si>
    <t>Каменщик 4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</si>
  <si>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</si>
  <si>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</si>
  <si>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</si>
  <si>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</si>
  <si>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</si>
  <si>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</si>
  <si>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</si>
  <si>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</si>
  <si>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</si>
  <si>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</si>
  <si>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Маляр 3.1 разряда</t>
  </si>
  <si>
    <t>Маляр 3.3 разряда</t>
  </si>
  <si>
    <t>Маляр 4 разряда</t>
  </si>
  <si>
    <t>Маляр 5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</si>
  <si>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</si>
  <si>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</si>
  <si>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</si>
  <si>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Монтажник санитарно-технических систем и оборудования 6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</si>
  <si>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</si>
  <si>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7 разряда</t>
  </si>
  <si>
    <t>Облицовщик синтетическими материалами 2 разряда</t>
  </si>
  <si>
    <t>Облицовщик синтетическими материалами 5 разряда</t>
  </si>
  <si>
    <t>Облицовщик-плиточник 3 разряда</t>
  </si>
  <si>
    <t>Облицовщик-плиточник 3.1 разряда</t>
  </si>
  <si>
    <t>Плотник 2 разряда</t>
  </si>
  <si>
    <t>Плотник 3 разряда</t>
  </si>
  <si>
    <t>Плотник 4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</si>
  <si>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</si>
  <si>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</si>
  <si>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</si>
  <si>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</si>
  <si>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</si>
  <si>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</si>
  <si>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</si>
  <si>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</si>
  <si>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ремонту оборудования котельных и пылеприготовительных цехов 3 разряда</t>
  </si>
  <si>
    <t>Слесарь по ремонту оборудования котельных и пылеприготовительных цехов 4 разряда</t>
  </si>
  <si>
    <t>Слесарь по ремонту оборудования котельных и пылеприготовительных цехов 5 разряда</t>
  </si>
  <si>
    <t>Слесарь по ремонту оборудования котельных и пылеприготовительных цехов 6 разряда</t>
  </si>
  <si>
    <t>Слесарь по эксплуатации и ремонту газового оборудования 4 разряда</t>
  </si>
  <si>
    <t>Слесарь строительный 3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</si>
  <si>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</si>
  <si>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</si>
  <si>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</si>
  <si>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</si>
  <si>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</si>
  <si>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</si>
  <si>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</si>
  <si>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</si>
  <si>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Стекольщик 3.1 разряда</t>
  </si>
  <si>
    <t>Столяр строительный 2.5 разряда</t>
  </si>
  <si>
    <t>Столяр строительный 3 разряда</t>
  </si>
  <si>
    <t>Столяр строительный 3.4 разряда</t>
  </si>
  <si>
    <t>Столяр строительный 3.6 разряда</t>
  </si>
  <si>
    <t>Столяр строительный 3.9 разряда</t>
  </si>
  <si>
    <t>Столяр строительный 4 разряда</t>
  </si>
  <si>
    <t>Столяр строительный 4.2 разряда</t>
  </si>
  <si>
    <t>Столяр строительный 5 разряда</t>
  </si>
  <si>
    <t>Уборщик мусоропроводов 1 разряда</t>
  </si>
  <si>
    <t>Уборщик мусоропроводов 2 разряда</t>
  </si>
  <si>
    <t>Уборщик мусоропроводов 4 разряда</t>
  </si>
  <si>
    <t>Штукатур 2 разряда</t>
  </si>
  <si>
    <t>Штукатур 3 разряда</t>
  </si>
  <si>
    <t>Штукатур 3.4 разряда</t>
  </si>
  <si>
    <t>Штукатур 4 разряда</t>
  </si>
  <si>
    <t>Штукатур 5 разряда</t>
  </si>
  <si>
    <t>Электрогазосварщик 2 разряда</t>
  </si>
  <si>
    <t>Электрогазосварщик 3 разряда</t>
  </si>
  <si>
    <t>Электрогазосварщик 4 разряда</t>
  </si>
  <si>
    <t>Электрогазосварщик  5 разряда</t>
  </si>
  <si>
    <t>чел.-час./смену</t>
  </si>
  <si>
    <t>Электрогазосварщик 6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</si>
  <si>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</si>
  <si>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</si>
  <si>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</si>
  <si>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</si>
  <si>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</si>
  <si>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Hиппель размером 3/4"</t>
  </si>
  <si>
    <t>шт.</t>
  </si>
  <si>
    <t xml:space="preserve">Алебастр </t>
  </si>
  <si>
    <t>кг</t>
  </si>
  <si>
    <t>Арматура муфтовая оцинкованная  к трубопроводам диаметром 15 мм</t>
  </si>
  <si>
    <t>Арматура муфтовая оцинкованная к трубопроводам диаметром 20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</si>
  <si>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</si>
  <si>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</si>
  <si>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>Арматура муфтовая оцинкованная к трубопроводам диаметром 40 мм</t>
  </si>
  <si>
    <t>Арматура муфтовая оцинкованная к трубопроводам диаметром 50 мм</t>
  </si>
  <si>
    <t>10 шт.</t>
  </si>
  <si>
    <t>Арматура муфтовая оцинкованная к трубопроводам диаметром 65 мм</t>
  </si>
  <si>
    <t>Арматура муфтовая оцинкованная к трубопроводам диаметром 80 мм</t>
  </si>
  <si>
    <t>Арматура-сетка из стали класса А-1 диаметром 12 - 14 мм</t>
  </si>
  <si>
    <t>т</t>
  </si>
  <si>
    <t>Асбест</t>
  </si>
  <si>
    <t>Асбестовый шнур общего назначения (ШАОН-1) диаметром 1,0 - 1,5 мм</t>
  </si>
  <si>
    <t>Асбозурит</t>
  </si>
  <si>
    <t xml:space="preserve">Асфальт литой (жесткий) для покрытий тротуаров </t>
  </si>
  <si>
    <t>Ацетилен газообразный технический</t>
  </si>
  <si>
    <t>Ацетилен растворенный технический марки Б</t>
  </si>
  <si>
    <t>Ацетон технический, сорт первый</t>
  </si>
  <si>
    <t>Белила</t>
  </si>
  <si>
    <t>Бензин</t>
  </si>
  <si>
    <t>Бетон тяжелый, класс В 30 (М400)</t>
  </si>
  <si>
    <t>Бирки маркировочные пластмассовые</t>
  </si>
  <si>
    <t>Битумы нефтяные дорожные</t>
  </si>
  <si>
    <t>Битумы нефтяные строительные марки БН-90/10</t>
  </si>
  <si>
    <t>Блоки железобетонные фундаментные</t>
  </si>
  <si>
    <t>Блоки оконные</t>
  </si>
  <si>
    <t>Болты с  гайками и шайбами для санитарно-технических работ диаметром 20-22 мм</t>
  </si>
  <si>
    <t>Болты с гайками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</si>
  <si>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</si>
  <si>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</si>
  <si>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</si>
  <si>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Бруски обрезные длиной 2 - 3,75 м, все ширины, толщиной 32 - 70 мм III сорта</t>
  </si>
  <si>
    <t>Бруски обрезные длиной 2-3.75 м, шириной 75-150 мм, толщиной 40-75 мм II сорта</t>
  </si>
  <si>
    <t>Бруски обрезные хвойных пород длиной 2 - 6,5 м, толщиной 40 - 60 мм II сорта</t>
  </si>
  <si>
    <t>Бруски обрезные хвойных пород длиной 4-6,5 м, шириной 75-150 мм, толщиной 40-75 мм, III сорта</t>
  </si>
  <si>
    <t>Бязь суровая арт. 6804</t>
  </si>
  <si>
    <t xml:space="preserve">Вентили пожарные </t>
  </si>
  <si>
    <t>Вентили проходные муфтовые 15КЧ18Р для воды, давлением 1.6 Мпа (16 кгс/см2) диаметром 20 мм</t>
  </si>
  <si>
    <t>Вентили проходные муфтовые 15КЧ18Р для воды, давлением 1.6 МПа (16 кгс/см2), диаметром 25 мм</t>
  </si>
  <si>
    <t>Вентили проходные муфтовые 15КЧ18Р для воды, давлением 1.6 МПа (16 кгс/см2), диаметром 40</t>
  </si>
  <si>
    <t xml:space="preserve">Вентили проходные фланцевые 15С22НЖ для воды и пара, давлением 4 МПа (40 кгс/см2), диаметром 50 мм </t>
  </si>
  <si>
    <t>Вентиль запорный в комплекте д. 20 мм</t>
  </si>
  <si>
    <t>Вентиль запорный в комплекте д. 32 мм</t>
  </si>
  <si>
    <t>Вентиль запорный в комплекте д. 40 мм</t>
  </si>
  <si>
    <t>Вентиль запорный в комплекте д. 50 мм</t>
  </si>
  <si>
    <t>Вентиль обратный муфтовый диаметром до 20 мм</t>
  </si>
  <si>
    <t>Вентиль обратный муфтовый диаметром до 32 мм</t>
  </si>
  <si>
    <t>Вентиль обратный муфтовый диаметром до 50 мм</t>
  </si>
  <si>
    <t>Веревка техническая из пенькового волокна</t>
  </si>
  <si>
    <t>Ветонит 5000</t>
  </si>
  <si>
    <t>Ветошь</t>
  </si>
  <si>
    <t xml:space="preserve">Винты с гайками </t>
  </si>
  <si>
    <t>комплект</t>
  </si>
  <si>
    <t>Винты с полукруглой головкой длиной 55 - 120 мм</t>
  </si>
  <si>
    <t xml:space="preserve">Винты самонарезающие с уплотнительной прокладкой 4,8х35 мм
</t>
  </si>
  <si>
    <t>Винты самонарезающие СМ1-35</t>
  </si>
  <si>
    <t>Вода водопроводная</t>
  </si>
  <si>
    <t>Водоотлив из оцинкованной стали с полимерным покрытием</t>
  </si>
  <si>
    <t>пог. м.</t>
  </si>
  <si>
    <t>Войлок строительный</t>
  </si>
  <si>
    <t>Войлок строительный толщиной 15 мм</t>
  </si>
  <si>
    <t>Воронка сливная диаметром 150 мм</t>
  </si>
  <si>
    <t>Втулка</t>
  </si>
  <si>
    <t>Втулки изолирующие текстолитовые</t>
  </si>
  <si>
    <t>1000 шт.</t>
  </si>
  <si>
    <t>Выключатели автоматические</t>
  </si>
  <si>
    <t>Выключатель одноклавишный</t>
  </si>
  <si>
    <t>Гвозди кровельные оцинкованные</t>
  </si>
  <si>
    <t>Гвозди отделочные круглые 1,6 x 25 мм</t>
  </si>
  <si>
    <t>Гвозди строительные</t>
  </si>
  <si>
    <t>Гвозди строительные 100 мм</t>
  </si>
  <si>
    <t>Гвозди строительные 125 мм</t>
  </si>
  <si>
    <t>Гвозди строительные с плоской головкой 1,8 x 50 мм</t>
  </si>
  <si>
    <t>Гвозди строительные с плоской головкой 1,8 x60 мм</t>
  </si>
  <si>
    <t xml:space="preserve">Гвозди толевые  круглые 3,0х40 мм </t>
  </si>
  <si>
    <t>Герметик силиконовый для наружных швов</t>
  </si>
  <si>
    <t>л</t>
  </si>
  <si>
    <t>Гипсовые вяжущие Г-3</t>
  </si>
  <si>
    <t xml:space="preserve">Головки для пожарных рукавов соединительные напорные, давлением 1,2 МПа (12 кгс/см2) рукавные, диаметром 50 мм      </t>
  </si>
  <si>
    <t xml:space="preserve">Горелка газовая подовая низкого давления типа ПГ-Н-5 производительностью 5 м3/ч </t>
  </si>
  <si>
    <t>Готовый поручень</t>
  </si>
  <si>
    <t>пог. м</t>
  </si>
  <si>
    <t xml:space="preserve">Гравий керамзитовый, фракция  10-20 мм, марка 400             </t>
  </si>
  <si>
    <t>Графит измельченный</t>
  </si>
  <si>
    <t>Датчик давления</t>
  </si>
  <si>
    <t>Датчик температуры</t>
  </si>
  <si>
    <t>Дверное полотно</t>
  </si>
  <si>
    <t>Деревья-саженцы</t>
  </si>
  <si>
    <t>Дерматин</t>
  </si>
  <si>
    <t>Детали к листам асбестоцементным волнистым обыкновенного профиля, коньковые К-1 и К-2</t>
  </si>
  <si>
    <t>100 пар</t>
  </si>
  <si>
    <t xml:space="preserve">Дефлектор вытяжной  цилиндрический типа ЦАГИ </t>
  </si>
  <si>
    <t>Дисперсия поливинилацетатная гомополимерная грубодисперсная непластифицированная (эмульсия поливинилацетатная)</t>
  </si>
  <si>
    <t>Доводчик дверной для металлической двери</t>
  </si>
  <si>
    <t>Доски необрезные длиной 4 - 6,5 м, все ширины, толщиной 25 мм IV сорта</t>
  </si>
  <si>
    <t>Доски обрезные длиной 4 - 6,5 м, шириной 75 - 150 мм, толщиной 25 мм III сорта</t>
  </si>
  <si>
    <t>Доски обрезные длиной 4 - 6,5 м, шириной 75 - 150 мм, толщиной 44 мм и более II сорта</t>
  </si>
  <si>
    <t>Доски обрезные длиной 4 - 6,5 м, шириной 75 - 150 мм,толщиной 25 мм II сорта</t>
  </si>
  <si>
    <t>Доски подоконные деревянные</t>
  </si>
  <si>
    <t>м</t>
  </si>
  <si>
    <t>Доски половые со шпунтом и гребнем из древесины антисептированные тип ДП-27, толщиной 27 мм, шириной без гребня от 100 до 140 мм</t>
  </si>
  <si>
    <t>Дрань штукатурная длиной 800 - 1000 мм, шириной 19 - 22 мм, толщиной 4 мм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</si>
  <si>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</si>
  <si>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</si>
  <si>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3x58,5 мм</t>
  </si>
  <si>
    <t>Дюбели с калиброванной головкой (в обоймах) с цинковым хроматированным покрытием 3х78.5 мм</t>
  </si>
  <si>
    <t>Дюбели с калиброванной головкой (в обоймах) с цинковым хроматированным покрытием 4х100 мм</t>
  </si>
  <si>
    <t>Дюбели-гвозди</t>
  </si>
  <si>
    <t>Заготовки деревянные профилированные</t>
  </si>
  <si>
    <t>Задвижка диаметром 50 мм</t>
  </si>
  <si>
    <t>Задвижка накладная</t>
  </si>
  <si>
    <t>Задвижка параллельная фланцевая с шпинделем, для воды и  давлением 1 Мпа (10 кгс/см2) 30Ч6БР диаметром 100 мм</t>
  </si>
  <si>
    <t>Задвижка параллельная фланцевая с шпинделем, для воды и  давлением 1 Мпа (10 кгс/см2) 30Ч6БР диаметром 150 мм</t>
  </si>
  <si>
    <t>Задвижка параллельная фланцевая с шпинделем, для воды и  давлением 1 Мпа (10 кгс/см2) 30Ч6БР диаметром 200 мм</t>
  </si>
  <si>
    <t>Закругленная часть поручня</t>
  </si>
  <si>
    <t>Замазка белильная</t>
  </si>
  <si>
    <t>Замазка защитная</t>
  </si>
  <si>
    <t>Замазка оконная на олифе</t>
  </si>
  <si>
    <t>Замки накладные с засовом и защелкой</t>
  </si>
  <si>
    <t>Замок врезной оцинкованный с цилиндровым механизмом</t>
  </si>
  <si>
    <t>Звенья водосточных труб из оцинкованной стали толщиной  0,55 мм, диаметром 140 мм, марка ТВ-140</t>
  </si>
  <si>
    <t xml:space="preserve">м </t>
  </si>
  <si>
    <t xml:space="preserve">Известковое тесто 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</si>
  <si>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</si>
  <si>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</si>
  <si>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</si>
  <si>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</si>
  <si>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 xml:space="preserve">Канат двойной свивки типа ЛК-Р без покрытия из проволок марки В, маркировочная группа 1570 н/мм2 и менее, диаметром  16.5 мм </t>
  </si>
  <si>
    <t>10 пог. м.</t>
  </si>
  <si>
    <t>Канаты пеньковые пропитанные</t>
  </si>
  <si>
    <t>Канифоль сосновая</t>
  </si>
  <si>
    <t>Карбид кальция для кусков 2/25</t>
  </si>
  <si>
    <t>Качели-балансир с крепежами</t>
  </si>
  <si>
    <t>компл.</t>
  </si>
  <si>
    <t>Качели-маятник с крепежами</t>
  </si>
  <si>
    <t xml:space="preserve">Керосин для технических целей марок КТ-1, КТ-2 </t>
  </si>
  <si>
    <t>Кирпич керамический одинарный,  размером 250х120х65 мм, марка   50</t>
  </si>
  <si>
    <t>Кирпич силикатный полнотелый одинарный, размером 250х120х65 мм, марка 300</t>
  </si>
  <si>
    <t>Кислород технический газообразный</t>
  </si>
  <si>
    <t>Клапан балансировочный в комплекте д. 20 мм</t>
  </si>
  <si>
    <t>Клапан балансировочный в комплекте д. 32 мм</t>
  </si>
  <si>
    <t>Клапан балансировочный в комплекте д. 40 мм</t>
  </si>
  <si>
    <t>Клапан балансировочный в комплекте д. 50 мм</t>
  </si>
  <si>
    <t>Клей 88-СА</t>
  </si>
  <si>
    <t>Клей казеиновый</t>
  </si>
  <si>
    <t>Клей столярный сухой</t>
  </si>
  <si>
    <t>Клинья деревянные 50 х 100 х 400 мм</t>
  </si>
  <si>
    <t xml:space="preserve">Колер масляный </t>
  </si>
  <si>
    <t>Кольца резиновые уплотнительные (манжеты)  диаметром 50-300 мм</t>
  </si>
  <si>
    <t>Кольца резиновые уплотнительные (манжеты) для чугунных труб</t>
  </si>
  <si>
    <t xml:space="preserve">Кольцо уплотнительное (хомут) </t>
  </si>
  <si>
    <t xml:space="preserve">Колья деревянные посадочные  </t>
  </si>
  <si>
    <t>Кран пробковый диаметром 26-50 мм</t>
  </si>
  <si>
    <t>Кран шаровой В-В размером 1"</t>
  </si>
  <si>
    <t xml:space="preserve">Краны для спуска воздуха из системы </t>
  </si>
  <si>
    <t>Краны регулирующие трехходовые  КРТПП, латунные диаметром 15 мм</t>
  </si>
  <si>
    <t>Краны регулирующие трехходовые  КРТПП, латунные диаметром 20 мм</t>
  </si>
  <si>
    <t>Краски водно-дисперсионные поливинилацетатные ВД-ВА-17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</si>
  <si>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</si>
  <si>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</si>
  <si>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</si>
  <si>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</si>
  <si>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</si>
  <si>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силикатные</t>
  </si>
  <si>
    <t xml:space="preserve">Краски сухие цементные наружных работ               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</si>
  <si>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</si>
  <si>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</si>
  <si>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</si>
  <si>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Купорос медный марки А</t>
  </si>
  <si>
    <t>Кустарники с комом земли</t>
  </si>
  <si>
    <t>Лак битумный БТ-123</t>
  </si>
  <si>
    <t>Лампа люминесцентная</t>
  </si>
  <si>
    <t>Лампа энергосберегающая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</si>
  <si>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</si>
  <si>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</si>
  <si>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</si>
  <si>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</si>
  <si>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</si>
  <si>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Лестница</t>
  </si>
  <si>
    <t>Лиана 3-х секционная</t>
  </si>
  <si>
    <t>Линолеум поливинилхлоридный трудновоспламеняемый безосновный марки ТТН толщиной 1,8 мм</t>
  </si>
  <si>
    <t>Листы асбестоцементные волнистые обыкновенного профиля толщиной 5,5 мм</t>
  </si>
  <si>
    <t>Листы латунные марки Л85 холоднокатаные толщиной 1 мм, размером 710 x 1410, 800 x 2000 мм</t>
  </si>
  <si>
    <t>Магнитный пускатель</t>
  </si>
  <si>
    <t xml:space="preserve">Манометры общего назначения с трехходовым краном ОБМ1-100 </t>
  </si>
  <si>
    <t>Масло индустриальное И-20А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</si>
  <si>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</si>
  <si>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</si>
  <si>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</si>
  <si>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битумно-резиновая</t>
  </si>
  <si>
    <t>Мастика герметизирующая нетвердеющая &lt;Гэлан&gt;</t>
  </si>
  <si>
    <t>Мастика Изол</t>
  </si>
  <si>
    <t>Мастика клеящая строительная ВГКМ</t>
  </si>
  <si>
    <t>Маты минераловатные прошивные без обкладок М-100, толщина  40 мм</t>
  </si>
  <si>
    <t>Маты на крафт-бумаге Ламелла</t>
  </si>
  <si>
    <t>Маты прошивные из супертонкого стекловолокна без связующего толщиной 50 мм</t>
  </si>
  <si>
    <t>Мел природный молотый</t>
  </si>
  <si>
    <t>Металлические балки</t>
  </si>
  <si>
    <t>т.</t>
  </si>
  <si>
    <t>Металлические изделия</t>
  </si>
  <si>
    <t>Металлические секции, 2 м</t>
  </si>
  <si>
    <t>Металлоконструкции кронштейнов</t>
  </si>
  <si>
    <t>Мешки полиэтиленовые, 60 л</t>
  </si>
  <si>
    <t>Моющее средство</t>
  </si>
  <si>
    <t>Мыло</t>
  </si>
  <si>
    <t>Мыло твердое хозяйственное 72%</t>
  </si>
  <si>
    <t xml:space="preserve">Набивка сальника водяного насоса с двухслойным оплетением сердечника, квадратная, диаметром 12 мм </t>
  </si>
  <si>
    <t>Набивка сальников</t>
  </si>
  <si>
    <t>Накладка резиновая эластичная</t>
  </si>
  <si>
    <t>Наличники</t>
  </si>
  <si>
    <t xml:space="preserve">Натрий фтористый технический, марка А, сорт I              </t>
  </si>
  <si>
    <t>Ниппели радиаторные</t>
  </si>
  <si>
    <t>Ниппель размером 1</t>
  </si>
  <si>
    <t>Олифа комбинированная К-3</t>
  </si>
  <si>
    <t>Олифа натуральная</t>
  </si>
  <si>
    <t>Опилки древесные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</si>
  <si>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</si>
  <si>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</si>
  <si>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</si>
  <si>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</si>
  <si>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Паронит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</si>
  <si>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</si>
  <si>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</si>
  <si>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</si>
  <si>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Пена монтажная</t>
  </si>
  <si>
    <t>Пена монтажная для герметизации стыков в баллончике емкостью 0,85 л</t>
  </si>
  <si>
    <t>Первичный преобразователь расхода</t>
  </si>
  <si>
    <t>Перегной</t>
  </si>
  <si>
    <t>Переходник H-В размером 1"</t>
  </si>
  <si>
    <t>Переходник H-В размером 3/4"</t>
  </si>
  <si>
    <t>Пескосоляная смесь</t>
  </si>
  <si>
    <t xml:space="preserve">Песок природный для строительных работ средний </t>
  </si>
  <si>
    <t>Петли форточные накладные размером 70 x 55 мм</t>
  </si>
  <si>
    <t>Петля врезная</t>
  </si>
  <si>
    <t>Петля накладная</t>
  </si>
  <si>
    <t>Пигмент тертый</t>
  </si>
  <si>
    <t>Пиломатериалы хвойных пород. Бруски обрезные длиной 2 - 3,75 м, шириной 75 - 150 мм, толщиной 40 - 75 мм III сорта</t>
  </si>
  <si>
    <t xml:space="preserve">Плита площадная </t>
  </si>
  <si>
    <t>Плитки керамические глазурованные для внутренней облицовки стен гладкие без завала</t>
  </si>
  <si>
    <t>Плитки керамические для полов гладкие неглазурованные одноцветные с красителем квадратные и прямоугольные</t>
  </si>
  <si>
    <t>Подшипники для насосных агрегатов</t>
  </si>
  <si>
    <t>Поковки из квадратных заготовок массой 1,8 кг</t>
  </si>
  <si>
    <t>Поковки оцинкованные, масса 2,825 кг</t>
  </si>
  <si>
    <t>Поковки простые строительные (скобы, закрепы, хомуты и т.п.) массой до 1,6 кг</t>
  </si>
  <si>
    <t>Полиэтиленовые мешки, 200 л</t>
  </si>
  <si>
    <t>Полоса в сборе для заземления</t>
  </si>
  <si>
    <t>Портландцемент общестроительного назначения бездобавочный марки 400</t>
  </si>
  <si>
    <t>Портландцемент пуццолановый  марки М400</t>
  </si>
  <si>
    <t>Праймер битумный</t>
  </si>
  <si>
    <t>Предохранители плавкие</t>
  </si>
  <si>
    <t>Преобразователь давления в комплекте</t>
  </si>
  <si>
    <t>Преобразователь расхода в комплекте д. до 50 мм</t>
  </si>
  <si>
    <t>Преобразователь расхода в комплекте, д. 50-100 мм</t>
  </si>
  <si>
    <t xml:space="preserve">Прессшпан листовой, марки А </t>
  </si>
  <si>
    <t>Припои оловянно-свинцовые бессурьмянистые марки ПОС40</t>
  </si>
  <si>
    <t>Пробки деревянные 100 мм, длина 100 мм</t>
  </si>
  <si>
    <t>Провода монтажные одножильные</t>
  </si>
  <si>
    <t>1000 пог. м.</t>
  </si>
  <si>
    <t>Проволока канатная оцинкованная диаметром 3 мм</t>
  </si>
  <si>
    <t>Проволока сварочная легированная диаметром 4 мм</t>
  </si>
  <si>
    <t xml:space="preserve">Проволока светлая </t>
  </si>
  <si>
    <t>Проволока светлая диаметром 3,0 мм</t>
  </si>
  <si>
    <t>Проволока стальная низкоуглеродистая разного  назначения оцинкованная диаметром 1,1 мм</t>
  </si>
  <si>
    <t>Проволока стальная низкоуглеродистая разного  назначения оцинкованная диаметром 3,0 мм</t>
  </si>
  <si>
    <t>Проволока стальная низкоуглеродистая разного назначения оцинкованная диаметром 0,55 мм</t>
  </si>
  <si>
    <t>Проволока черная, отожженная, 0,8 мм</t>
  </si>
  <si>
    <t>Прокладки для клапана</t>
  </si>
  <si>
    <t>Прокладки из паронита марки ПМБ, толщиной 1 мм, д. 200 мм</t>
  </si>
  <si>
    <t>Прокладки из паронита марки ПМБ, толщиной 1 мм, диаметром 50 мм</t>
  </si>
  <si>
    <t>Прокладки из паронита марки ПМБ, толщиной 3 мм диаметром 300 мм</t>
  </si>
  <si>
    <t>Прокладки из паронита, толщиной 1 мм, д. 100 мм</t>
  </si>
  <si>
    <t>Прокладки из паронита, толщиной 1 мм, д. 150 мм</t>
  </si>
  <si>
    <t>Прокладки резиновые (пластина техническая прессованная)</t>
  </si>
  <si>
    <t>Прокладки толевые уплотнительные 20 x 20 мм</t>
  </si>
  <si>
    <t xml:space="preserve">Профиль монтажный </t>
  </si>
  <si>
    <t>Пружины</t>
  </si>
  <si>
    <t xml:space="preserve">Прядь льняная </t>
  </si>
  <si>
    <t>Пудра алюминиевая</t>
  </si>
  <si>
    <t>Пускорегулирующая аппаратура (электронная пускорегулирующая аппаратура для люминесцентных ламп)</t>
  </si>
  <si>
    <t xml:space="preserve">Радиаторный блок (Радиатор ALUX алюминиевый 500х4секций)
</t>
  </si>
  <si>
    <t>Рассада цветов</t>
  </si>
  <si>
    <t xml:space="preserve">Раствор асбоцементный 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</si>
  <si>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</si>
  <si>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</si>
  <si>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</si>
  <si>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кладочный цементный М400</t>
  </si>
  <si>
    <t>Раствор готовый кладочный цементный М50</t>
  </si>
  <si>
    <t>Раствор готовый отделочный тяжелый, цементно-известковый 1:1:6</t>
  </si>
  <si>
    <t>Раствор готовый отделочный тяжелый, цементно-известковый 1:1:9</t>
  </si>
  <si>
    <t>Раствор готовый отделочный тяжелый, цементный 1:2</t>
  </si>
  <si>
    <t>Раствор декоративный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</si>
  <si>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</si>
  <si>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</si>
  <si>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</si>
  <si>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</si>
  <si>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</si>
  <si>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Рейка деревянная</t>
  </si>
  <si>
    <t>Реле времени</t>
  </si>
  <si>
    <t>Решетки жалюзийные неподвижные штампованные размером 150x490 мм</t>
  </si>
  <si>
    <t>Розетка потолочная</t>
  </si>
  <si>
    <t>Розетка штепсельная</t>
  </si>
  <si>
    <t>Рубероид подкладочный с пылевидной посыпкой РПП-300а</t>
  </si>
  <si>
    <t>Рубильник</t>
  </si>
  <si>
    <t xml:space="preserve">Рукава пожарные льняные сухого прядения нормальные, 51 мм                          </t>
  </si>
  <si>
    <t>Ручка-скоба из алюминиевого  сплава анодированная</t>
  </si>
  <si>
    <t>Ручки для клапана</t>
  </si>
  <si>
    <t>Светильник настенный с лампами накаливания</t>
  </si>
  <si>
    <t>Светильники с люминесцентными лампами</t>
  </si>
  <si>
    <t xml:space="preserve">Сгоны стальные с муфтой и контргайкой, диаметром 15 мм   </t>
  </si>
  <si>
    <t xml:space="preserve">Сгоны стальные с муфтой и контргайкой, диаметром 20 мм   </t>
  </si>
  <si>
    <t>Сгоны стальные с муфтой и контргайкой, диаметром 32 мм</t>
  </si>
  <si>
    <t>Сгоны стальные с муфтой и контргайкой, диаметром 50 мм</t>
  </si>
  <si>
    <t>Секции радиатора (Радиатор чугун. МС-140 М ДУ15 (секция))</t>
  </si>
  <si>
    <t>Секции стального водогрейного котла мощностью до 0,55 Гкал/ч</t>
  </si>
  <si>
    <t>Семена газонной травы</t>
  </si>
  <si>
    <t>Сетка плетеная одинарная с квадратной ячейкой 12 мм из  проволоки диаметром 1,4 мм</t>
  </si>
  <si>
    <t xml:space="preserve">Сжим ответвительный </t>
  </si>
  <si>
    <t>Сиккатив жирно-кислотный ЖК-1</t>
  </si>
  <si>
    <t>Скамейка без спинки с бетонными опорами</t>
  </si>
  <si>
    <t>Скамейка без спинки с металлическими опорами</t>
  </si>
  <si>
    <t>Скамейка чугунная со спинкой</t>
  </si>
  <si>
    <t>Скипидар живичный</t>
  </si>
  <si>
    <t>Скобы металлические</t>
  </si>
  <si>
    <t>Смазка солидол жировой Ж</t>
  </si>
  <si>
    <t>Смеси асфальтобетонные дорожные, аэродромные и асфальтобетон (горячие и теплые для плотного асфальтобетона мелко- и крупнозернистые, песчаные)</t>
  </si>
  <si>
    <t>Смола каменноугольная</t>
  </si>
  <si>
    <t>Соединительные детали "Vestol" размером 1"</t>
  </si>
  <si>
    <t>Соединительные детали "Vestol" размером 3/4"</t>
  </si>
  <si>
    <t xml:space="preserve">Спирт этиловый ректификованный технический, сорт I 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</si>
  <si>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</si>
  <si>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</si>
  <si>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 xml:space="preserve">Сталь листовая кровельная черная толщиной 0,7 мм </t>
  </si>
  <si>
    <t>Сталь листовая оцинкованная толщиной листа 0,7 мм</t>
  </si>
  <si>
    <t>Сталь оцинкованная листовая толщина листа 0,5 мм</t>
  </si>
  <si>
    <t xml:space="preserve">Стволы пожарные ручные марки РС, диаметр 50 мм              </t>
  </si>
  <si>
    <t>Створка оконная для жилых зданий пл. 0,7-0,8 кв.м.</t>
  </si>
  <si>
    <t>Створка оконная для жилых зданий пл. 1-1,2 кв.м.</t>
  </si>
  <si>
    <t>Стекла к водомерной колонке</t>
  </si>
  <si>
    <t xml:space="preserve">Стекло жидкое калийное       </t>
  </si>
  <si>
    <t>Стекло листовое площадью до 1.0 м2, 1 группы, толщиной 3 мм марки М1</t>
  </si>
  <si>
    <t xml:space="preserve">Стекло строительное профильное бесцветное коробчатого сечения </t>
  </si>
  <si>
    <t>Сурик железный тертый</t>
  </si>
  <si>
    <t>Сурик свинцовый тертый</t>
  </si>
  <si>
    <t>Тальк молотый I сорта</t>
  </si>
  <si>
    <t>Тепловычислитель в комплекте</t>
  </si>
  <si>
    <t>Термопреобразователь в комплекте</t>
  </si>
  <si>
    <t>Ткань мешочная</t>
  </si>
  <si>
    <t>Ткань стеклянная конструкционная Т-11, Т-11п</t>
  </si>
  <si>
    <t>1000 м2</t>
  </si>
  <si>
    <t>Толстолистовой горячекатаный прокат в листах с обрезными кромками толщиной 9 - 12 мм, шириной свыше 1400 до 1500 мм, сталь С255</t>
  </si>
  <si>
    <t>Толь с крупнозернистой посыпкой гидроизоляционный марки ТГ-350</t>
  </si>
  <si>
    <t>Топливо дизельное из малосернистых нефтей</t>
  </si>
  <si>
    <t>Трап чугунный комплектный диаметром 100 мм</t>
  </si>
  <si>
    <t>Трап чугунный комплектный диаметром 50 мм</t>
  </si>
  <si>
    <t>Тройник размером 1"</t>
  </si>
  <si>
    <t>Тройник размером 3/4"</t>
  </si>
  <si>
    <t>Трубка хлорвиниловая</t>
  </si>
  <si>
    <t>Трубки защитные гофрированные</t>
  </si>
  <si>
    <t>Трубопровод из стальных электросварных труб д. 45 мм</t>
  </si>
  <si>
    <t>Трубопровод из стальных электросварных труб д. 89 мм</t>
  </si>
  <si>
    <t>Трубопровод из стальных электросварных труб д.76 мм</t>
  </si>
  <si>
    <t>Трубопровод из стальных электросварных труб, д. 108 мм</t>
  </si>
  <si>
    <t>Трубопровод из стальных электросварных труб, д. 133 мм</t>
  </si>
  <si>
    <t>Трубопровод из стальных электросварных труб, д. 159 мм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</si>
  <si>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</si>
  <si>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</si>
  <si>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150 мм</t>
  </si>
  <si>
    <t>Трубопроводы канализационные из полиэтиленовых труб высокой плотности с гильзами диаметром 50 мм</t>
  </si>
  <si>
    <t>Трубы металл-полимерные многослойные для горячего водоснабжения диаметром до 20 мм</t>
  </si>
  <si>
    <t>Трубы металл-полимерные многослойные для горячего водоснабжения диаметром до 25 мм</t>
  </si>
  <si>
    <t>Трубы металл-полимерные многослойные для горячего водоснабжения диаметром до 32 мм</t>
  </si>
  <si>
    <t>Трубы металлопластиковые многослойные диаметром 20 мм</t>
  </si>
  <si>
    <t>Трубы металлопластиковые многослойные диаметром 25 мм</t>
  </si>
  <si>
    <t>Трубы стальные сварные водогазопроводные с резьбой оцинкованные обыкновенные диаметр условного прохода 15 мм, толщина стенки 2.8 мм</t>
  </si>
  <si>
    <t>Трубы стальные сварные водогазопроводные с резьбой оцинкованные обыкновенные диаметр условного прохода 20 мм, толщина стенки 2.8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</si>
  <si>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</si>
  <si>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</si>
  <si>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</si>
  <si>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</si>
  <si>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</si>
  <si>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</si>
  <si>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50 мм, толщина стенки 3.5 мм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</si>
  <si>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</si>
  <si>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Трубы чугунные канализационные длиной 2 м, диаметром 100 мм</t>
  </si>
  <si>
    <t>Трубы чугунные канализационные длиной 2 м, диаметром 150 мм</t>
  </si>
  <si>
    <t>Трубы чугунные канализационные длиной 2 м, диаметром 50 мм</t>
  </si>
  <si>
    <t>Турник</t>
  </si>
  <si>
    <t>Угольник H-В размером 1"</t>
  </si>
  <si>
    <t>Угольник H-В размером 3/4"</t>
  </si>
  <si>
    <t>Угольники оконные 50 x 50 мм</t>
  </si>
  <si>
    <t>Удобрения сложно-смешанные</t>
  </si>
  <si>
    <t>Ухват (стремена, кронштейн, держатель) для водосточных труб</t>
  </si>
  <si>
    <t>Фанера клееная марки ФК и ФБА, сорт В/ВВ, толщиной 5 - 7 мм</t>
  </si>
  <si>
    <t>Фасонные части к чугунным трубопроводам диаметром 100 мм</t>
  </si>
  <si>
    <t>Фасонные части к чугунным трубопроводам диаметром 150 мм</t>
  </si>
  <si>
    <t>Фасонные части к чугунным трубопроводам диаметром 50 мм</t>
  </si>
  <si>
    <t>Фиксатор пластмассовый ординарный для металлополимерных труб размером 1"</t>
  </si>
  <si>
    <t>Фиксатор пластмассовый ординарный для металлполимерных труб</t>
  </si>
  <si>
    <t>Фильтры для очистки воды в трубопроводах систем отопления</t>
  </si>
  <si>
    <t>Флажки</t>
  </si>
  <si>
    <t>Фланцы стальные плоские приварные из стали ВСт3сп2,  ВСт3сп3; давлением 0.1 и 0.25  МПа (1 и 2.5 кгс/см2),   диаметром 15 мм</t>
  </si>
  <si>
    <t>Фланцы стальные плоские приварные из стали ВСт3сп2,  ВСт3сп3; давлением 0.1 и 0.25  МПа (1 и 2.5 кгс/см2),   диаметром 25 мм</t>
  </si>
  <si>
    <t>Хомут для крепления траверс окрашенный (применяется вместо п.2)</t>
  </si>
  <si>
    <t>Цемент глиноземистый марки 400</t>
  </si>
  <si>
    <t>Цемент расширяющийся</t>
  </si>
  <si>
    <t>Шайбы плоские из оцинкованной стали</t>
  </si>
  <si>
    <t>Шаровой кран</t>
  </si>
  <si>
    <t>Швеллеры N40, сталь марки Ст4кп</t>
  </si>
  <si>
    <t>Шкаф</t>
  </si>
  <si>
    <t>Шкафчики для пожарных рукавов  (навесной, закрытый на 2 огнетушителя)</t>
  </si>
  <si>
    <t>Шкурка шлифовальная двухслойная с зернистостью 40-25</t>
  </si>
  <si>
    <t>Шнур асбестовый общего назначения, марки ШАОН диаметром 10.0 мм</t>
  </si>
  <si>
    <t>Шнур полиамидный крученый диаметром 2 мм</t>
  </si>
  <si>
    <t>Шнуры теплоизоляционные в сетчатой оплетке М-200</t>
  </si>
  <si>
    <t>Шпагат</t>
  </si>
  <si>
    <t>Шпагат бумажный влагопрочный одножильный 3,7 мм</t>
  </si>
  <si>
    <t>Шпатлевка клеевая</t>
  </si>
  <si>
    <t>Шпатлевка масляно-клеевая</t>
  </si>
  <si>
    <t>Штапики</t>
  </si>
  <si>
    <t>Шурупы с полукруглой головкой 3,5 x 35 мм</t>
  </si>
  <si>
    <t>Шурупы с полукруглой головкой 6 x 80 мм</t>
  </si>
  <si>
    <t>Шурупы с потайной головкой черные размером 8,0х100 мм</t>
  </si>
  <si>
    <t xml:space="preserve">Щебень из гравия для строительных работ марка Др.12, фракция 10-20 мм </t>
  </si>
  <si>
    <t>Щеколды</t>
  </si>
  <si>
    <t>Щит управления</t>
  </si>
  <si>
    <t>Элеваторы ВТИ стальные из стальных труб и сортовой стали</t>
  </si>
  <si>
    <t>Электрическое запирающее устройство</t>
  </si>
  <si>
    <t>Электроды диаметром 4 мм Э42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</si>
  <si>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</si>
  <si>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</si>
  <si>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</si>
  <si>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</si>
  <si>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</si>
  <si>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</si>
  <si>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</si>
  <si>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</si>
  <si>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</si>
  <si>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Метла полипропиленовая плоская с черен.</t>
  </si>
  <si>
    <t>Скребок-ледоруб</t>
  </si>
  <si>
    <t>Совок металлический</t>
  </si>
  <si>
    <t xml:space="preserve">Швабра </t>
  </si>
  <si>
    <t>Шланг поливочный, 20 м</t>
  </si>
  <si>
    <t>Щетка д/пола 280 мм с черенком на резьбе 1,2 м.</t>
  </si>
  <si>
    <t>Машины/Механизмы</t>
  </si>
  <si>
    <t>Аппарат для газовой сварки и резки</t>
  </si>
  <si>
    <t>маш.-час.</t>
  </si>
  <si>
    <t>Вышки телескопические 25 м</t>
  </si>
  <si>
    <t>маш.-час</t>
  </si>
  <si>
    <t>Газонокосилка</t>
  </si>
  <si>
    <t>Дрели электрические</t>
  </si>
  <si>
    <t>Катки дорожные самоходные гладкие, 8т.</t>
  </si>
  <si>
    <t>Компрессор передвижной с двигателем внутреннего сгорания давлением до 686 кПа (7 ат) до 5 м3/мин</t>
  </si>
  <si>
    <t xml:space="preserve">Котлы битумные передвижные 400 л
</t>
  </si>
  <si>
    <t>Краны на автомобильном ходу при работе на других видах строительства 10 т</t>
  </si>
  <si>
    <t>Лебедки электрические тяговым усилием до 5,79 кН (0,59 т)</t>
  </si>
  <si>
    <t>Люлька</t>
  </si>
  <si>
    <t>Машины шлифовальные электрические</t>
  </si>
  <si>
    <t>Молотки при работе от передвижных компрессорных станций отбойные пневматические</t>
  </si>
  <si>
    <t>Подъемники мачтовые</t>
  </si>
  <si>
    <t>Пылесос промышленный</t>
  </si>
  <si>
    <t>Растворонагнетатель</t>
  </si>
  <si>
    <t>Растворосмесители передвижные 0,5 т</t>
  </si>
  <si>
    <t>Установки для гидравлических испытаний трубопроводов, давление нагнетания низкое 0,1 мПа (1 кгс/см2), высокое 10 мПа (100 кгс/см2)</t>
  </si>
  <si>
    <t>Установки для сварки ручной дуговой (постоянного тока)</t>
  </si>
  <si>
    <t>Шуруповерт</t>
  </si>
  <si>
    <t>Цена за единмцу измерения</t>
  </si>
  <si>
    <t>составлен с использованием онлайн сервиса "МКД-расчет", разработанного Центром Муниципальной экономики (ЦНИС)</t>
  </si>
  <si>
    <t>Примечание: расценка может быть откорректирована на стоимость материалов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</si>
</sst>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8"/>
      <name val="Arial"/>
      <family val="0"/>
    </font>
    <font>
      <b/>
      <sz val="14"/>
      <color indexed="16"/>
      <name val="Arial"/>
      <family val="0"/>
    </font>
    <font>
      <b/>
      <sz val="11"/>
      <color indexed="16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right" vertical="center" wrapText="1"/>
      <protection/>
    </xf>
    <xf numFmtId="4" fontId="0" fillId="0" borderId="24" xfId="0" applyNumberForma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5" xfId="0" applyNumberFormat="1" applyFill="1" applyBorder="1" applyAlignment="1" applyProtection="1">
      <alignment horizontal="right" vertical="center" wrapText="1"/>
      <protection/>
    </xf>
    <xf numFmtId="4" fontId="0" fillId="0" borderId="26" xfId="0" applyNumberFormat="1" applyFill="1" applyBorder="1" applyAlignment="1" applyProtection="1">
      <alignment horizontal="right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6" fillId="0" borderId="0" xfId="0" applyNumberFormat="1" applyFont="1" applyFill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 wrapText="1"/>
      <protection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4" fontId="4" fillId="35" borderId="31" xfId="0" applyNumberFormat="1" applyFont="1" applyFill="1" applyBorder="1" applyAlignment="1" applyProtection="1">
      <alignment horizontal="left" vertical="center" wrapText="1"/>
      <protection/>
    </xf>
    <xf numFmtId="4" fontId="4" fillId="35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left" vertical="center" wrapText="1"/>
      <protection/>
    </xf>
    <xf numFmtId="0" fontId="11" fillId="0" borderId="33" xfId="0" applyFont="1" applyFill="1" applyBorder="1" applyAlignment="1" applyProtection="1">
      <alignment horizontal="left" vertical="center" wrapText="1"/>
      <protection/>
    </xf>
    <xf numFmtId="0" fontId="11" fillId="0" borderId="34" xfId="0" applyFont="1" applyFill="1" applyBorder="1" applyAlignment="1" applyProtection="1">
      <alignment horizontal="left" vertical="center" wrapText="1"/>
      <protection/>
    </xf>
    <xf numFmtId="4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9"/>
  <sheetViews>
    <sheetView tabSelected="1" workbookViewId="0" topLeftCell="B1">
      <selection activeCell="M130" sqref="M13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hidden="1" customWidth="1"/>
    <col min="13" max="13" width="13.00390625" style="0" customWidth="1"/>
    <col min="14" max="14" width="15.00390625" style="0" customWidth="1"/>
  </cols>
  <sheetData>
    <row r="1" spans="2:14" ht="23.25" customHeight="1">
      <c r="B1" s="41" t="s">
        <v>12</v>
      </c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</row>
    <row r="2" spans="2:14" ht="23.25" customHeight="1" thickBot="1">
      <c r="B2" s="35" t="s">
        <v>1222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54.75" customHeight="1" thickBot="1" thickTop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0" t="s">
        <v>1221</v>
      </c>
      <c r="N3" s="3" t="s">
        <v>11</v>
      </c>
    </row>
    <row r="4" spans="2:14" ht="21.75" customHeight="1" thickBot="1" thickTop="1">
      <c r="B4" s="36" t="s">
        <v>13</v>
      </c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9"/>
    </row>
    <row r="5" spans="2:14" ht="40.5" customHeight="1" thickBot="1" thickTop="1">
      <c r="B5" s="6">
        <v>1</v>
      </c>
      <c r="C5" s="4" t="s">
        <v>14</v>
      </c>
      <c r="D5" s="4" t="s">
        <v>15</v>
      </c>
      <c r="E5" s="8">
        <v>1</v>
      </c>
      <c r="F5" s="8">
        <v>1</v>
      </c>
      <c r="G5" s="11">
        <f>23409.3496*E5*F5</f>
        <v>23409.3496</v>
      </c>
      <c r="H5" s="11">
        <f>286409.47500288*E5*F5</f>
        <v>286409.47500288</v>
      </c>
      <c r="I5" s="11">
        <f>735.1344*E5*F5</f>
        <v>735.1344</v>
      </c>
      <c r="J5" s="11">
        <f>23456.1682992*E5*F5</f>
        <v>23456.1682992</v>
      </c>
      <c r="K5" s="11">
        <f>58451.772277864*E5*F5</f>
        <v>58451.772277864</v>
      </c>
      <c r="L5" s="11">
        <f aca="true" t="shared" si="0" ref="L5:L36">0*E5*F5</f>
        <v>0</v>
      </c>
      <c r="M5" s="29">
        <f>N5/F5/E5/100</f>
        <v>3924.6189957994397</v>
      </c>
      <c r="N5" s="13">
        <f aca="true" t="shared" si="1" ref="N5:N36">SUM(G5:L5)</f>
        <v>392461.899579944</v>
      </c>
    </row>
    <row r="6" spans="2:14" ht="40.5" customHeight="1" thickBot="1" thickTop="1">
      <c r="B6" s="7">
        <v>2</v>
      </c>
      <c r="C6" s="5" t="s">
        <v>16</v>
      </c>
      <c r="D6" s="5" t="s">
        <v>17</v>
      </c>
      <c r="E6" s="9">
        <v>1</v>
      </c>
      <c r="F6" s="9">
        <v>1</v>
      </c>
      <c r="G6" s="12">
        <f>735.418464*E6*F6</f>
        <v>735.418464</v>
      </c>
      <c r="H6" s="12">
        <f>8628.3812664*E6*F6</f>
        <v>8628.3812664</v>
      </c>
      <c r="I6" s="12">
        <f>9276.463794*E6*F6</f>
        <v>9276.463794</v>
      </c>
      <c r="J6" s="12">
        <f>4070.614663368*E6*F6</f>
        <v>4070.614663368</v>
      </c>
      <c r="K6" s="12">
        <f>3974.4036828594*E6*F6</f>
        <v>3974.4036828594</v>
      </c>
      <c r="L6" s="12">
        <f t="shared" si="0"/>
        <v>0</v>
      </c>
      <c r="M6" s="29">
        <f>N6/F6/E6</f>
        <v>26685.281870627397</v>
      </c>
      <c r="N6" s="14">
        <f t="shared" si="1"/>
        <v>26685.281870627397</v>
      </c>
    </row>
    <row r="7" spans="2:14" ht="40.5" customHeight="1" thickBot="1" thickTop="1">
      <c r="B7" s="7">
        <v>3</v>
      </c>
      <c r="C7" s="5" t="s">
        <v>18</v>
      </c>
      <c r="D7" s="5" t="s">
        <v>19</v>
      </c>
      <c r="E7" s="9">
        <v>1</v>
      </c>
      <c r="F7" s="9">
        <v>1</v>
      </c>
      <c r="G7" s="12">
        <f>7515.260808*E7*F7</f>
        <v>7515.260808</v>
      </c>
      <c r="H7" s="12">
        <f>17942.92812*E7*F7</f>
        <v>17942.92812</v>
      </c>
      <c r="I7" s="12">
        <f>0*E7*F7</f>
        <v>0</v>
      </c>
      <c r="J7" s="12">
        <f>7530.291329616*E7*F7</f>
        <v>7530.291329616</v>
      </c>
      <c r="K7" s="12">
        <f>5772.9840450828*E7*F7</f>
        <v>5772.9840450828</v>
      </c>
      <c r="L7" s="12">
        <f t="shared" si="0"/>
        <v>0</v>
      </c>
      <c r="M7" s="29">
        <f aca="true" t="shared" si="2" ref="M7:M31">N7/F7/E7/100</f>
        <v>387.614643026988</v>
      </c>
      <c r="N7" s="14">
        <f t="shared" si="1"/>
        <v>38761.4643026988</v>
      </c>
    </row>
    <row r="8" spans="2:14" ht="40.5" customHeight="1" thickBot="1" thickTop="1">
      <c r="B8" s="7">
        <v>4</v>
      </c>
      <c r="C8" s="5" t="s">
        <v>20</v>
      </c>
      <c r="D8" s="5" t="s">
        <v>21</v>
      </c>
      <c r="E8" s="9">
        <v>1</v>
      </c>
      <c r="F8" s="9">
        <v>1</v>
      </c>
      <c r="G8" s="12">
        <f>321.84438*E8*F8</f>
        <v>321.84438</v>
      </c>
      <c r="H8" s="12">
        <f>925.08142752*E8*F8</f>
        <v>925.08142752</v>
      </c>
      <c r="I8" s="12">
        <f>0*E8*F8</f>
        <v>0</v>
      </c>
      <c r="J8" s="12">
        <f>322.48806876*E8*F8</f>
        <v>322.48806876</v>
      </c>
      <c r="K8" s="12">
        <f>274.647428349*E8*F8</f>
        <v>274.647428349</v>
      </c>
      <c r="L8" s="12">
        <f t="shared" si="0"/>
        <v>0</v>
      </c>
      <c r="M8" s="29">
        <f>N8/F8/E8</f>
        <v>1844.061304629</v>
      </c>
      <c r="N8" s="14">
        <f t="shared" si="1"/>
        <v>1844.061304629</v>
      </c>
    </row>
    <row r="9" spans="2:14" ht="40.5" customHeight="1" thickBot="1" thickTop="1">
      <c r="B9" s="7">
        <v>5</v>
      </c>
      <c r="C9" s="5" t="s">
        <v>22</v>
      </c>
      <c r="D9" s="5" t="s">
        <v>23</v>
      </c>
      <c r="E9" s="9">
        <v>1</v>
      </c>
      <c r="F9" s="9">
        <v>1</v>
      </c>
      <c r="G9" s="12">
        <f>6030.684*E9*F9</f>
        <v>6030.684</v>
      </c>
      <c r="H9" s="12">
        <f>53523.40463424*E9*F9</f>
        <v>53523.40463424</v>
      </c>
      <c r="I9" s="12">
        <f>0*E9*F9</f>
        <v>0</v>
      </c>
      <c r="J9" s="12">
        <f>6042.745368*E9*F9</f>
        <v>6042.745368</v>
      </c>
      <c r="K9" s="12">
        <f>11479.445950392*E9*F9</f>
        <v>11479.445950392</v>
      </c>
      <c r="L9" s="12">
        <f t="shared" si="0"/>
        <v>0</v>
      </c>
      <c r="M9" s="29">
        <f t="shared" si="2"/>
        <v>770.76279952632</v>
      </c>
      <c r="N9" s="14">
        <f t="shared" si="1"/>
        <v>77076.279952632</v>
      </c>
    </row>
    <row r="10" spans="2:14" ht="40.5" customHeight="1" thickBot="1" thickTop="1">
      <c r="B10" s="7">
        <v>6</v>
      </c>
      <c r="C10" s="5" t="s">
        <v>24</v>
      </c>
      <c r="D10" s="5" t="s">
        <v>25</v>
      </c>
      <c r="E10" s="9">
        <v>1</v>
      </c>
      <c r="F10" s="9">
        <v>1</v>
      </c>
      <c r="G10" s="12">
        <f>20481.006*E10*F10</f>
        <v>20481.006</v>
      </c>
      <c r="H10" s="12">
        <f>52717.76718552*E10*F10</f>
        <v>52717.76718552</v>
      </c>
      <c r="I10" s="12">
        <f>11078.1216*E10*F10</f>
        <v>11078.1216</v>
      </c>
      <c r="J10" s="12">
        <f>20521.968012*E10*F10</f>
        <v>20521.968012</v>
      </c>
      <c r="K10" s="12">
        <f>18339.800989566*E10*F10</f>
        <v>18339.800989566</v>
      </c>
      <c r="L10" s="12">
        <f t="shared" si="0"/>
        <v>0</v>
      </c>
      <c r="M10" s="29">
        <f t="shared" si="2"/>
        <v>1231.3866378708599</v>
      </c>
      <c r="N10" s="14">
        <f t="shared" si="1"/>
        <v>123138.663787086</v>
      </c>
    </row>
    <row r="11" spans="2:14" ht="40.5" customHeight="1" thickBot="1" thickTop="1">
      <c r="B11" s="7">
        <v>7</v>
      </c>
      <c r="C11" s="5" t="s">
        <v>26</v>
      </c>
      <c r="D11" s="5" t="s">
        <v>27</v>
      </c>
      <c r="E11" s="9">
        <v>1</v>
      </c>
      <c r="F11" s="9">
        <v>1</v>
      </c>
      <c r="G11" s="12">
        <f>76145.0976*E11*F11</f>
        <v>76145.0976</v>
      </c>
      <c r="H11" s="12">
        <f>52717.76718552*E11*F11</f>
        <v>52717.76718552</v>
      </c>
      <c r="I11" s="12">
        <f>0*E11*F11</f>
        <v>0</v>
      </c>
      <c r="J11" s="12">
        <f>76297.3877952*E11*F11</f>
        <v>76297.3877952</v>
      </c>
      <c r="K11" s="12">
        <f>35903.044201626*E11*F11</f>
        <v>35903.044201626</v>
      </c>
      <c r="L11" s="12">
        <f t="shared" si="0"/>
        <v>0</v>
      </c>
      <c r="M11" s="29">
        <f t="shared" si="2"/>
        <v>2410.63296782346</v>
      </c>
      <c r="N11" s="14">
        <f t="shared" si="1"/>
        <v>241063.296782346</v>
      </c>
    </row>
    <row r="12" spans="2:14" ht="40.5" customHeight="1" thickBot="1" thickTop="1">
      <c r="B12" s="7">
        <v>8</v>
      </c>
      <c r="C12" s="5" t="s">
        <v>28</v>
      </c>
      <c r="D12" s="5" t="s">
        <v>29</v>
      </c>
      <c r="E12" s="9">
        <v>1</v>
      </c>
      <c r="F12" s="9">
        <v>1</v>
      </c>
      <c r="G12" s="12">
        <f>10746.0738*E12*F12</f>
        <v>10746.0738</v>
      </c>
      <c r="H12" s="12">
        <f>9935.7685614*E12*F12</f>
        <v>9935.7685614</v>
      </c>
      <c r="I12" s="12">
        <f>0*E12*F12</f>
        <v>0</v>
      </c>
      <c r="J12" s="12">
        <f>10767.5659476*E12*F12</f>
        <v>10767.5659476</v>
      </c>
      <c r="K12" s="12">
        <f>5503.646454075*E12*F12</f>
        <v>5503.646454075</v>
      </c>
      <c r="L12" s="12">
        <f t="shared" si="0"/>
        <v>0</v>
      </c>
      <c r="M12" s="29">
        <f t="shared" si="2"/>
        <v>369.53054763075</v>
      </c>
      <c r="N12" s="14">
        <f t="shared" si="1"/>
        <v>36953.054763075</v>
      </c>
    </row>
    <row r="13" spans="2:14" ht="40.5" customHeight="1" thickBot="1" thickTop="1">
      <c r="B13" s="7">
        <v>9</v>
      </c>
      <c r="C13" s="5" t="s">
        <v>30</v>
      </c>
      <c r="D13" s="5" t="s">
        <v>29</v>
      </c>
      <c r="E13" s="9">
        <v>1</v>
      </c>
      <c r="F13" s="9">
        <v>1</v>
      </c>
      <c r="G13" s="12">
        <f>15574.02*E13*F13</f>
        <v>15574.02</v>
      </c>
      <c r="H13" s="12">
        <f>14903.6528421*E13*F13</f>
        <v>14903.6528421</v>
      </c>
      <c r="I13" s="12">
        <f>0*E13*F13</f>
        <v>0</v>
      </c>
      <c r="J13" s="12">
        <f>15605.16804*E13*F13</f>
        <v>15605.16804</v>
      </c>
      <c r="K13" s="12">
        <f>8064.4971543675*E13*F13</f>
        <v>8064.4971543675</v>
      </c>
      <c r="L13" s="12">
        <f t="shared" si="0"/>
        <v>0</v>
      </c>
      <c r="M13" s="29">
        <f t="shared" si="2"/>
        <v>541.473380364675</v>
      </c>
      <c r="N13" s="14">
        <f t="shared" si="1"/>
        <v>54147.3380364675</v>
      </c>
    </row>
    <row r="14" spans="2:14" ht="40.5" customHeight="1" thickBot="1" thickTop="1">
      <c r="B14" s="7">
        <v>10</v>
      </c>
      <c r="C14" s="5" t="s">
        <v>31</v>
      </c>
      <c r="D14" s="5" t="s">
        <v>29</v>
      </c>
      <c r="E14" s="9">
        <v>1</v>
      </c>
      <c r="F14" s="9">
        <v>1</v>
      </c>
      <c r="G14" s="12">
        <f>17131.422*E14*F14</f>
        <v>17131.422</v>
      </c>
      <c r="H14" s="12">
        <f>19871.5371228*E14*F14</f>
        <v>19871.5371228</v>
      </c>
      <c r="I14" s="12">
        <f>0*E14*F14</f>
        <v>0</v>
      </c>
      <c r="J14" s="12">
        <f>17165.684844*E14*F14</f>
        <v>17165.684844</v>
      </c>
      <c r="K14" s="12">
        <f>9479.51269419*E14*F14</f>
        <v>9479.51269419</v>
      </c>
      <c r="L14" s="12">
        <f t="shared" si="0"/>
        <v>0</v>
      </c>
      <c r="M14" s="29">
        <f t="shared" si="2"/>
        <v>636.4815666098999</v>
      </c>
      <c r="N14" s="14">
        <f t="shared" si="1"/>
        <v>63648.15666099</v>
      </c>
    </row>
    <row r="15" spans="2:14" ht="40.5" customHeight="1" thickBot="1" thickTop="1">
      <c r="B15" s="7">
        <v>11</v>
      </c>
      <c r="C15" s="5" t="s">
        <v>32</v>
      </c>
      <c r="D15" s="5" t="s">
        <v>29</v>
      </c>
      <c r="E15" s="9">
        <v>1</v>
      </c>
      <c r="F15" s="9">
        <v>1</v>
      </c>
      <c r="G15" s="12">
        <f>24918.432*E15*F15</f>
        <v>24918.432</v>
      </c>
      <c r="H15" s="12">
        <f>39743.0742456*E15*F15</f>
        <v>39743.0742456</v>
      </c>
      <c r="I15" s="12">
        <f>0*E15*F15</f>
        <v>0</v>
      </c>
      <c r="J15" s="12">
        <f>24968.268864*E15*F15</f>
        <v>24968.268864</v>
      </c>
      <c r="K15" s="12">
        <f>15685.21064418*E15*F15</f>
        <v>15685.21064418</v>
      </c>
      <c r="L15" s="12">
        <f t="shared" si="0"/>
        <v>0</v>
      </c>
      <c r="M15" s="29">
        <f t="shared" si="2"/>
        <v>1053.1498575378</v>
      </c>
      <c r="N15" s="14">
        <f t="shared" si="1"/>
        <v>105314.98575378</v>
      </c>
    </row>
    <row r="16" spans="2:14" ht="40.5" customHeight="1" thickBot="1" thickTop="1">
      <c r="B16" s="7">
        <v>12</v>
      </c>
      <c r="C16" s="5" t="s">
        <v>33</v>
      </c>
      <c r="D16" s="5" t="s">
        <v>25</v>
      </c>
      <c r="E16" s="9">
        <v>1</v>
      </c>
      <c r="F16" s="9">
        <v>1</v>
      </c>
      <c r="G16" s="12">
        <f>46839.936*E16*F16</f>
        <v>46839.936</v>
      </c>
      <c r="H16" s="12">
        <f>16817.859144*E16*F16</f>
        <v>16817.859144</v>
      </c>
      <c r="I16" s="12">
        <f>13715.7696*E16*F16</f>
        <v>13715.7696</v>
      </c>
      <c r="J16" s="12">
        <f>46933.615872*E16*F16</f>
        <v>46933.615872</v>
      </c>
      <c r="K16" s="12">
        <f>21753.7566078*E16*F16</f>
        <v>21753.7566078</v>
      </c>
      <c r="L16" s="12">
        <f t="shared" si="0"/>
        <v>0</v>
      </c>
      <c r="M16" s="29">
        <f t="shared" si="2"/>
        <v>1460.6093722379999</v>
      </c>
      <c r="N16" s="14">
        <f t="shared" si="1"/>
        <v>146060.9372238</v>
      </c>
    </row>
    <row r="17" spans="2:14" ht="40.5" customHeight="1" thickBot="1" thickTop="1">
      <c r="B17" s="7">
        <v>13</v>
      </c>
      <c r="C17" s="5" t="s">
        <v>34</v>
      </c>
      <c r="D17" s="5" t="s">
        <v>35</v>
      </c>
      <c r="E17" s="9">
        <v>1</v>
      </c>
      <c r="F17" s="9">
        <v>1</v>
      </c>
      <c r="G17" s="12">
        <f>1948.309902*E17*F17</f>
        <v>1948.309902</v>
      </c>
      <c r="H17" s="12">
        <f>835.841034288*E17*F17</f>
        <v>835.841034288</v>
      </c>
      <c r="I17" s="12">
        <f>659.412*E17*F17</f>
        <v>659.412</v>
      </c>
      <c r="J17" s="12">
        <f>1952.206521804*E17*F17</f>
        <v>1952.206521804</v>
      </c>
      <c r="K17" s="12">
        <f>944.2596551661*E17*F17</f>
        <v>944.2596551661</v>
      </c>
      <c r="L17" s="12">
        <f t="shared" si="0"/>
        <v>0</v>
      </c>
      <c r="M17" s="29">
        <f t="shared" si="2"/>
        <v>63.400291132580996</v>
      </c>
      <c r="N17" s="14">
        <f t="shared" si="1"/>
        <v>6340.0291132581</v>
      </c>
    </row>
    <row r="18" spans="2:14" ht="40.5" customHeight="1" thickBot="1" thickTop="1">
      <c r="B18" s="7">
        <v>14</v>
      </c>
      <c r="C18" s="5" t="s">
        <v>36</v>
      </c>
      <c r="D18" s="5" t="s">
        <v>35</v>
      </c>
      <c r="E18" s="9">
        <v>1</v>
      </c>
      <c r="F18" s="9">
        <v>1</v>
      </c>
      <c r="G18" s="12">
        <f>3761.79936*E18*F18</f>
        <v>3761.79936</v>
      </c>
      <c r="H18" s="12">
        <f>2759.111616568*E18*F18</f>
        <v>2759.111616568</v>
      </c>
      <c r="I18" s="12">
        <f>801.844992*E18*F18</f>
        <v>801.844992</v>
      </c>
      <c r="J18" s="12">
        <f>3769.32295872*E18*F18</f>
        <v>3769.32295872</v>
      </c>
      <c r="K18" s="12">
        <f>1941.1138122754*E18*F18</f>
        <v>1941.1138122754</v>
      </c>
      <c r="L18" s="12">
        <f t="shared" si="0"/>
        <v>0</v>
      </c>
      <c r="M18" s="29">
        <f t="shared" si="2"/>
        <v>130.331927395634</v>
      </c>
      <c r="N18" s="14">
        <f t="shared" si="1"/>
        <v>13033.192739563401</v>
      </c>
    </row>
    <row r="19" spans="2:14" ht="40.5" customHeight="1" thickBot="1" thickTop="1">
      <c r="B19" s="7">
        <v>15</v>
      </c>
      <c r="C19" s="5" t="s">
        <v>37</v>
      </c>
      <c r="D19" s="5" t="s">
        <v>38</v>
      </c>
      <c r="E19" s="9">
        <v>1</v>
      </c>
      <c r="F19" s="9">
        <v>1</v>
      </c>
      <c r="G19" s="12">
        <f>2024.6226*E19*F19</f>
        <v>2024.6226</v>
      </c>
      <c r="H19" s="12">
        <f>555.626130408*E19*F19</f>
        <v>555.626130408</v>
      </c>
      <c r="I19" s="12">
        <f aca="true" t="shared" si="3" ref="I19:I35">0*E19*F19</f>
        <v>0</v>
      </c>
      <c r="J19" s="12">
        <f>2028.6718452*E19*F19</f>
        <v>2028.6718452</v>
      </c>
      <c r="K19" s="12">
        <f>806.5611007314*E19*F19</f>
        <v>806.5611007314</v>
      </c>
      <c r="L19" s="12">
        <f t="shared" si="0"/>
        <v>0</v>
      </c>
      <c r="M19" s="29">
        <f t="shared" si="2"/>
        <v>54.154816763394</v>
      </c>
      <c r="N19" s="14">
        <f t="shared" si="1"/>
        <v>5415.4816763394</v>
      </c>
    </row>
    <row r="20" spans="2:14" ht="40.5" customHeight="1" thickBot="1" thickTop="1">
      <c r="B20" s="7">
        <v>16</v>
      </c>
      <c r="C20" s="5" t="s">
        <v>39</v>
      </c>
      <c r="D20" s="5" t="s">
        <v>38</v>
      </c>
      <c r="E20" s="9">
        <v>1</v>
      </c>
      <c r="F20" s="9">
        <v>1</v>
      </c>
      <c r="G20" s="12">
        <f>6852.5688*E20*F20</f>
        <v>6852.5688</v>
      </c>
      <c r="H20" s="12">
        <f>2446.8311475648*E20*F20</f>
        <v>2446.8311475648</v>
      </c>
      <c r="I20" s="12">
        <f t="shared" si="3"/>
        <v>0</v>
      </c>
      <c r="J20" s="12">
        <f>6866.2739376*E20*F20</f>
        <v>6866.2739376</v>
      </c>
      <c r="K20" s="12">
        <f>2828.9929299038*E20*F20</f>
        <v>2828.9929299038</v>
      </c>
      <c r="L20" s="12">
        <f t="shared" si="0"/>
        <v>0</v>
      </c>
      <c r="M20" s="29">
        <f t="shared" si="2"/>
        <v>189.946668150686</v>
      </c>
      <c r="N20" s="14">
        <f t="shared" si="1"/>
        <v>18994.666815068602</v>
      </c>
    </row>
    <row r="21" spans="2:14" ht="40.5" customHeight="1" thickBot="1" thickTop="1">
      <c r="B21" s="7">
        <v>17</v>
      </c>
      <c r="C21" s="5" t="s">
        <v>40</v>
      </c>
      <c r="D21" s="5" t="s">
        <v>38</v>
      </c>
      <c r="E21" s="9">
        <v>1</v>
      </c>
      <c r="F21" s="9">
        <v>1</v>
      </c>
      <c r="G21" s="12">
        <f>8639.0304*E21*F21</f>
        <v>8639.0304</v>
      </c>
      <c r="H21" s="12">
        <f>6858.3369125232*E21*F21</f>
        <v>6858.3369125232</v>
      </c>
      <c r="I21" s="12">
        <f t="shared" si="3"/>
        <v>0</v>
      </c>
      <c r="J21" s="12">
        <f>8656.3084608*E21*F21</f>
        <v>8656.3084608</v>
      </c>
      <c r="K21" s="12">
        <f>4226.8932603316*E21*F21</f>
        <v>4226.8932603316</v>
      </c>
      <c r="L21" s="12">
        <f t="shared" si="0"/>
        <v>0</v>
      </c>
      <c r="M21" s="29">
        <f t="shared" si="2"/>
        <v>283.80569033654797</v>
      </c>
      <c r="N21" s="14">
        <f t="shared" si="1"/>
        <v>28380.5690336548</v>
      </c>
    </row>
    <row r="22" spans="2:14" ht="40.5" customHeight="1" thickBot="1" thickTop="1">
      <c r="B22" s="7">
        <v>18</v>
      </c>
      <c r="C22" s="5" t="s">
        <v>41</v>
      </c>
      <c r="D22" s="5" t="s">
        <v>42</v>
      </c>
      <c r="E22" s="9">
        <v>1</v>
      </c>
      <c r="F22" s="9">
        <v>1</v>
      </c>
      <c r="G22" s="12">
        <f>33227.04*E22*F22</f>
        <v>33227.04</v>
      </c>
      <c r="H22" s="12">
        <f>19301.960603678*E22*F22</f>
        <v>19301.960603678</v>
      </c>
      <c r="I22" s="12">
        <f t="shared" si="3"/>
        <v>0</v>
      </c>
      <c r="J22" s="12">
        <f>33293.49408*E22*F22</f>
        <v>33293.49408</v>
      </c>
      <c r="K22" s="12">
        <f>15018.936569644*E22*F22</f>
        <v>15018.936569644</v>
      </c>
      <c r="L22" s="12">
        <f t="shared" si="0"/>
        <v>0</v>
      </c>
      <c r="M22" s="29">
        <f t="shared" si="2"/>
        <v>1008.4143125332199</v>
      </c>
      <c r="N22" s="14">
        <f t="shared" si="1"/>
        <v>100841.43125332199</v>
      </c>
    </row>
    <row r="23" spans="2:14" ht="40.5" customHeight="1" thickBot="1" thickTop="1">
      <c r="B23" s="7">
        <v>19</v>
      </c>
      <c r="C23" s="5" t="s">
        <v>43</v>
      </c>
      <c r="D23" s="5" t="s">
        <v>42</v>
      </c>
      <c r="E23" s="9">
        <v>1</v>
      </c>
      <c r="F23" s="9">
        <v>1</v>
      </c>
      <c r="G23" s="12">
        <f>2188.49796*E23*F23</f>
        <v>2188.49796</v>
      </c>
      <c r="H23" s="12">
        <f>586.50952068*E23*F23</f>
        <v>586.50952068</v>
      </c>
      <c r="I23" s="12">
        <f t="shared" si="3"/>
        <v>0</v>
      </c>
      <c r="J23" s="12">
        <f>2192.87495592*E23*F23</f>
        <v>2192.87495592</v>
      </c>
      <c r="K23" s="12">
        <f>869.379426405*E23*F23</f>
        <v>869.379426405</v>
      </c>
      <c r="L23" s="12">
        <f t="shared" si="0"/>
        <v>0</v>
      </c>
      <c r="M23" s="29">
        <f t="shared" si="2"/>
        <v>58.37261863005001</v>
      </c>
      <c r="N23" s="14">
        <f t="shared" si="1"/>
        <v>5837.261863005001</v>
      </c>
    </row>
    <row r="24" spans="2:14" ht="40.5" customHeight="1" thickBot="1" thickTop="1">
      <c r="B24" s="7">
        <v>20</v>
      </c>
      <c r="C24" s="5" t="s">
        <v>44</v>
      </c>
      <c r="D24" s="5" t="s">
        <v>42</v>
      </c>
      <c r="E24" s="9">
        <v>1</v>
      </c>
      <c r="F24" s="9">
        <v>1</v>
      </c>
      <c r="G24" s="12">
        <f>3654.9744*E24*F24</f>
        <v>3654.9744</v>
      </c>
      <c r="H24" s="12">
        <f>661.68670716*E24*F24</f>
        <v>661.68670716</v>
      </c>
      <c r="I24" s="12">
        <f t="shared" si="3"/>
        <v>0</v>
      </c>
      <c r="J24" s="12">
        <f>3662.2843488*E24*F24</f>
        <v>3662.2843488</v>
      </c>
      <c r="K24" s="12">
        <f>1396.315454793*E24*F24</f>
        <v>1396.315454793</v>
      </c>
      <c r="L24" s="12">
        <f t="shared" si="0"/>
        <v>0</v>
      </c>
      <c r="M24" s="29">
        <f t="shared" si="2"/>
        <v>93.75260910753</v>
      </c>
      <c r="N24" s="14">
        <f t="shared" si="1"/>
        <v>9375.260910753</v>
      </c>
    </row>
    <row r="25" spans="2:14" ht="40.5" customHeight="1" thickBot="1" thickTop="1">
      <c r="B25" s="7">
        <v>21</v>
      </c>
      <c r="C25" s="5" t="s">
        <v>45</v>
      </c>
      <c r="D25" s="5" t="s">
        <v>46</v>
      </c>
      <c r="E25" s="9">
        <v>1</v>
      </c>
      <c r="F25" s="9">
        <v>1</v>
      </c>
      <c r="G25" s="12">
        <f>2491.8432*E25*F25</f>
        <v>2491.8432</v>
      </c>
      <c r="H25" s="12">
        <f>604.556838252*E25*F25</f>
        <v>604.556838252</v>
      </c>
      <c r="I25" s="12">
        <f t="shared" si="3"/>
        <v>0</v>
      </c>
      <c r="J25" s="12">
        <f>2496.8268864*E25*F25</f>
        <v>2496.8268864</v>
      </c>
      <c r="K25" s="12">
        <f>978.8147118141*E25*F25</f>
        <v>978.8147118141</v>
      </c>
      <c r="L25" s="12">
        <f t="shared" si="0"/>
        <v>0</v>
      </c>
      <c r="M25" s="29">
        <f t="shared" si="2"/>
        <v>65.72041636466099</v>
      </c>
      <c r="N25" s="14">
        <f t="shared" si="1"/>
        <v>6572.0416364661</v>
      </c>
    </row>
    <row r="26" spans="2:14" ht="40.5" customHeight="1" thickBot="1" thickTop="1">
      <c r="B26" s="7">
        <v>22</v>
      </c>
      <c r="C26" s="5" t="s">
        <v>47</v>
      </c>
      <c r="D26" s="5" t="s">
        <v>46</v>
      </c>
      <c r="E26" s="9">
        <v>1</v>
      </c>
      <c r="F26" s="9">
        <v>1</v>
      </c>
      <c r="G26" s="12">
        <f>7475.5296*E26*F26</f>
        <v>7475.5296</v>
      </c>
      <c r="H26" s="12">
        <f>2534.1125038272*E26*F26</f>
        <v>2534.1125038272</v>
      </c>
      <c r="I26" s="12">
        <f t="shared" si="3"/>
        <v>0</v>
      </c>
      <c r="J26" s="12">
        <f>7490.4806592*E26*F26</f>
        <v>7490.4806592</v>
      </c>
      <c r="K26" s="12">
        <f>3062.5214835298*E26*F26</f>
        <v>3062.5214835298</v>
      </c>
      <c r="L26" s="12">
        <f t="shared" si="0"/>
        <v>0</v>
      </c>
      <c r="M26" s="29">
        <f t="shared" si="2"/>
        <v>205.62644246557</v>
      </c>
      <c r="N26" s="14">
        <f t="shared" si="1"/>
        <v>20562.644246557</v>
      </c>
    </row>
    <row r="27" spans="2:14" ht="40.5" customHeight="1" thickBot="1" thickTop="1">
      <c r="B27" s="7">
        <v>23</v>
      </c>
      <c r="C27" s="5" t="s">
        <v>48</v>
      </c>
      <c r="D27" s="5" t="s">
        <v>46</v>
      </c>
      <c r="E27" s="9">
        <v>1</v>
      </c>
      <c r="F27" s="9">
        <v>1</v>
      </c>
      <c r="G27" s="12">
        <f>9801.9768*E27*F27</f>
        <v>9801.9768</v>
      </c>
      <c r="H27" s="12">
        <f>7491.711191472*E27*F27</f>
        <v>7491.711191472</v>
      </c>
      <c r="I27" s="12">
        <f t="shared" si="3"/>
        <v>0</v>
      </c>
      <c r="J27" s="12">
        <f>9821.5807536*E27*F27</f>
        <v>9821.5807536</v>
      </c>
      <c r="K27" s="12">
        <f>4745.1720303876*E27*F27</f>
        <v>4745.1720303876</v>
      </c>
      <c r="L27" s="12">
        <f t="shared" si="0"/>
        <v>0</v>
      </c>
      <c r="M27" s="29">
        <f t="shared" si="2"/>
        <v>318.60440775459597</v>
      </c>
      <c r="N27" s="14">
        <f t="shared" si="1"/>
        <v>31860.4407754596</v>
      </c>
    </row>
    <row r="28" spans="2:14" ht="40.5" customHeight="1" thickBot="1" thickTop="1">
      <c r="B28" s="7">
        <v>24</v>
      </c>
      <c r="C28" s="5" t="s">
        <v>49</v>
      </c>
      <c r="D28" s="5" t="s">
        <v>50</v>
      </c>
      <c r="E28" s="9">
        <v>1</v>
      </c>
      <c r="F28" s="9">
        <v>1</v>
      </c>
      <c r="G28" s="12">
        <f>611.764032*E28*F28</f>
        <v>611.764032</v>
      </c>
      <c r="H28" s="12">
        <f>688.546807596*E28*F28</f>
        <v>688.546807596</v>
      </c>
      <c r="I28" s="12">
        <f t="shared" si="3"/>
        <v>0</v>
      </c>
      <c r="J28" s="12">
        <f>612.987560064*E28*F28</f>
        <v>612.987560064</v>
      </c>
      <c r="K28" s="12">
        <f>334.8272199405*E28*F28</f>
        <v>334.8272199405</v>
      </c>
      <c r="L28" s="12">
        <f t="shared" si="0"/>
        <v>0</v>
      </c>
      <c r="M28" s="29">
        <f>N28/F28/E28</f>
        <v>2248.1256196005</v>
      </c>
      <c r="N28" s="14">
        <f t="shared" si="1"/>
        <v>2248.1256196005</v>
      </c>
    </row>
    <row r="29" spans="2:14" ht="40.5" customHeight="1" thickBot="1" thickTop="1">
      <c r="B29" s="7">
        <v>25</v>
      </c>
      <c r="C29" s="5" t="s">
        <v>51</v>
      </c>
      <c r="D29" s="5" t="s">
        <v>52</v>
      </c>
      <c r="E29" s="9">
        <v>1</v>
      </c>
      <c r="F29" s="9">
        <v>1</v>
      </c>
      <c r="G29" s="12">
        <f>797.24568*E29*F29</f>
        <v>797.24568</v>
      </c>
      <c r="H29" s="12">
        <f>1279.054893312*E29*F29</f>
        <v>1279.054893312</v>
      </c>
      <c r="I29" s="12">
        <f t="shared" si="3"/>
        <v>0</v>
      </c>
      <c r="J29" s="12">
        <f>798.84017136*E29*F29</f>
        <v>798.84017136</v>
      </c>
      <c r="K29" s="12">
        <f>503.1496303176*E29*F29</f>
        <v>503.1496303176</v>
      </c>
      <c r="L29" s="12">
        <f t="shared" si="0"/>
        <v>0</v>
      </c>
      <c r="M29" s="29">
        <f t="shared" si="2"/>
        <v>33.782903749896</v>
      </c>
      <c r="N29" s="14">
        <f t="shared" si="1"/>
        <v>3378.2903749896</v>
      </c>
    </row>
    <row r="30" spans="2:14" ht="40.5" customHeight="1" thickBot="1" thickTop="1">
      <c r="B30" s="7">
        <v>26</v>
      </c>
      <c r="C30" s="5" t="s">
        <v>53</v>
      </c>
      <c r="D30" s="5" t="s">
        <v>54</v>
      </c>
      <c r="E30" s="9">
        <v>1</v>
      </c>
      <c r="F30" s="9">
        <v>1</v>
      </c>
      <c r="G30" s="12">
        <f>97.62192*E30*F30</f>
        <v>97.62192</v>
      </c>
      <c r="H30" s="12">
        <f>18.6204872736*E30*F30</f>
        <v>18.6204872736</v>
      </c>
      <c r="I30" s="12">
        <f t="shared" si="3"/>
        <v>0</v>
      </c>
      <c r="J30" s="12">
        <f>97.81716384*E30*F30</f>
        <v>97.81716384</v>
      </c>
      <c r="K30" s="12">
        <f>37.46042494488*E30*F30</f>
        <v>37.46042494488</v>
      </c>
      <c r="L30" s="12">
        <f t="shared" si="0"/>
        <v>0</v>
      </c>
      <c r="M30" s="29">
        <f>N30/F30/E30</f>
        <v>251.51999605848002</v>
      </c>
      <c r="N30" s="14">
        <f t="shared" si="1"/>
        <v>251.51999605848002</v>
      </c>
    </row>
    <row r="31" spans="2:14" ht="40.5" customHeight="1" thickBot="1" thickTop="1">
      <c r="B31" s="7">
        <v>27</v>
      </c>
      <c r="C31" s="5" t="s">
        <v>55</v>
      </c>
      <c r="D31" s="5" t="s">
        <v>56</v>
      </c>
      <c r="E31" s="9">
        <v>1</v>
      </c>
      <c r="F31" s="9">
        <v>1</v>
      </c>
      <c r="G31" s="12">
        <f>12926.27457*E31*F31</f>
        <v>12926.27457</v>
      </c>
      <c r="H31" s="12">
        <f>2711.005179912*E31*F31</f>
        <v>2711.005179912</v>
      </c>
      <c r="I31" s="12">
        <f t="shared" si="3"/>
        <v>0</v>
      </c>
      <c r="J31" s="12">
        <f>12952.12711914*E31*F31</f>
        <v>12952.12711914</v>
      </c>
      <c r="K31" s="12">
        <f>5003.1462020841*E31*F31</f>
        <v>5003.1462020841</v>
      </c>
      <c r="L31" s="12">
        <f t="shared" si="0"/>
        <v>0</v>
      </c>
      <c r="M31" s="29">
        <f t="shared" si="2"/>
        <v>335.925530711361</v>
      </c>
      <c r="N31" s="14">
        <f t="shared" si="1"/>
        <v>33592.5530711361</v>
      </c>
    </row>
    <row r="32" spans="2:14" ht="40.5" customHeight="1" thickBot="1" thickTop="1">
      <c r="B32" s="7">
        <v>28</v>
      </c>
      <c r="C32" s="5" t="s">
        <v>57</v>
      </c>
      <c r="D32" s="5" t="s">
        <v>58</v>
      </c>
      <c r="E32" s="9">
        <v>1</v>
      </c>
      <c r="F32" s="9">
        <v>1</v>
      </c>
      <c r="G32" s="12">
        <f>200.124936*E32*F32</f>
        <v>200.124936</v>
      </c>
      <c r="H32" s="12">
        <f>361.49571936*E32*F32</f>
        <v>361.49571936</v>
      </c>
      <c r="I32" s="12">
        <f t="shared" si="3"/>
        <v>0</v>
      </c>
      <c r="J32" s="12">
        <f>200.525185872*E32*F32</f>
        <v>200.525185872</v>
      </c>
      <c r="K32" s="12">
        <f>133.3755222156*E32*F32</f>
        <v>133.3755222156</v>
      </c>
      <c r="L32" s="12">
        <f t="shared" si="0"/>
        <v>0</v>
      </c>
      <c r="M32" s="29">
        <f>N32/F32/E32/10</f>
        <v>89.55213634476</v>
      </c>
      <c r="N32" s="14">
        <f t="shared" si="1"/>
        <v>895.5213634476</v>
      </c>
    </row>
    <row r="33" spans="2:14" ht="40.5" customHeight="1" thickBot="1" thickTop="1">
      <c r="B33" s="7">
        <v>29</v>
      </c>
      <c r="C33" s="5" t="s">
        <v>59</v>
      </c>
      <c r="D33" s="5" t="s">
        <v>60</v>
      </c>
      <c r="E33" s="9">
        <v>1</v>
      </c>
      <c r="F33" s="9">
        <v>1</v>
      </c>
      <c r="G33" s="12">
        <f>99.08448*E33*F33</f>
        <v>99.08448</v>
      </c>
      <c r="H33" s="12">
        <f>586.1065454856*E33*F33</f>
        <v>586.1065454856</v>
      </c>
      <c r="I33" s="12">
        <f t="shared" si="3"/>
        <v>0</v>
      </c>
      <c r="J33" s="12">
        <f>99.28264896*E33*F33</f>
        <v>99.28264896</v>
      </c>
      <c r="K33" s="12">
        <f>137.28289302798*E33*F33</f>
        <v>137.28289302798</v>
      </c>
      <c r="L33" s="12">
        <f t="shared" si="0"/>
        <v>0</v>
      </c>
      <c r="M33" s="29">
        <f>N33/F33/E33</f>
        <v>921.7565674735799</v>
      </c>
      <c r="N33" s="14">
        <f t="shared" si="1"/>
        <v>921.7565674735799</v>
      </c>
    </row>
    <row r="34" spans="2:14" ht="40.5" customHeight="1" thickBot="1" thickTop="1">
      <c r="B34" s="7">
        <v>30</v>
      </c>
      <c r="C34" s="5" t="s">
        <v>61</v>
      </c>
      <c r="D34" s="5" t="s">
        <v>50</v>
      </c>
      <c r="E34" s="9">
        <v>1</v>
      </c>
      <c r="F34" s="9">
        <v>1</v>
      </c>
      <c r="G34" s="12">
        <f>215.97576*E34*F34</f>
        <v>215.97576</v>
      </c>
      <c r="H34" s="12">
        <f>6.29442*E34*F34</f>
        <v>6.29442</v>
      </c>
      <c r="I34" s="12">
        <f t="shared" si="3"/>
        <v>0</v>
      </c>
      <c r="J34" s="12">
        <f>216.40771152*E34*F34</f>
        <v>216.40771152</v>
      </c>
      <c r="K34" s="12">
        <f>76.768631016*E34*F34</f>
        <v>76.768631016</v>
      </c>
      <c r="L34" s="12">
        <f t="shared" si="0"/>
        <v>0</v>
      </c>
      <c r="M34" s="29">
        <f>N34/F34/E34</f>
        <v>515.446522536</v>
      </c>
      <c r="N34" s="14">
        <f t="shared" si="1"/>
        <v>515.446522536</v>
      </c>
    </row>
    <row r="35" spans="2:14" ht="40.5" customHeight="1" thickBot="1" thickTop="1">
      <c r="B35" s="7">
        <v>31</v>
      </c>
      <c r="C35" s="5" t="s">
        <v>62</v>
      </c>
      <c r="D35" s="5" t="s">
        <v>50</v>
      </c>
      <c r="E35" s="9">
        <v>1</v>
      </c>
      <c r="F35" s="9">
        <v>1</v>
      </c>
      <c r="G35" s="12">
        <f>116.29464*E35*F35</f>
        <v>116.29464</v>
      </c>
      <c r="H35" s="12">
        <f>111.6288*E35*F35</f>
        <v>111.6288</v>
      </c>
      <c r="I35" s="12">
        <f t="shared" si="3"/>
        <v>0</v>
      </c>
      <c r="J35" s="12">
        <f>116.52722928*E35*F35</f>
        <v>116.52722928</v>
      </c>
      <c r="K35" s="12">
        <f>60.278867124*E35*F35</f>
        <v>60.278867124</v>
      </c>
      <c r="L35" s="12">
        <f t="shared" si="0"/>
        <v>0</v>
      </c>
      <c r="M35" s="29">
        <f>N35/F35/E35</f>
        <v>404.729536404</v>
      </c>
      <c r="N35" s="14">
        <f t="shared" si="1"/>
        <v>404.729536404</v>
      </c>
    </row>
    <row r="36" spans="2:14" ht="40.5" customHeight="1" thickBot="1" thickTop="1">
      <c r="B36" s="7">
        <v>32</v>
      </c>
      <c r="C36" s="5" t="s">
        <v>63</v>
      </c>
      <c r="D36" s="5" t="s">
        <v>64</v>
      </c>
      <c r="E36" s="9">
        <v>1</v>
      </c>
      <c r="F36" s="9">
        <v>1</v>
      </c>
      <c r="G36" s="12">
        <f>9856.754292*E36*F36</f>
        <v>9856.754292</v>
      </c>
      <c r="H36" s="12">
        <f>26242.138458072*E36*F36</f>
        <v>26242.138458072</v>
      </c>
      <c r="I36" s="12">
        <f>134.483856*E36*F36</f>
        <v>134.483856</v>
      </c>
      <c r="J36" s="12">
        <f>9933.226978356*E36*F36</f>
        <v>9933.226978356</v>
      </c>
      <c r="K36" s="12">
        <f>8079.1556272749*E36*F36</f>
        <v>8079.1556272749</v>
      </c>
      <c r="L36" s="12">
        <f t="shared" si="0"/>
        <v>0</v>
      </c>
      <c r="M36" s="29">
        <f aca="true" t="shared" si="4" ref="M36:M72">N36/F36/E36/100</f>
        <v>542.457592117029</v>
      </c>
      <c r="N36" s="14">
        <f t="shared" si="1"/>
        <v>54245.7592117029</v>
      </c>
    </row>
    <row r="37" spans="2:14" ht="40.5" customHeight="1" thickBot="1" thickTop="1">
      <c r="B37" s="7">
        <v>33</v>
      </c>
      <c r="C37" s="5" t="s">
        <v>65</v>
      </c>
      <c r="D37" s="5" t="s">
        <v>66</v>
      </c>
      <c r="E37" s="9">
        <v>1</v>
      </c>
      <c r="F37" s="9">
        <v>1</v>
      </c>
      <c r="G37" s="12">
        <f>4622.6961*E37*F37</f>
        <v>4622.6961</v>
      </c>
      <c r="H37" s="12">
        <f>1510.88232564*E37*F37</f>
        <v>1510.88232564</v>
      </c>
      <c r="I37" s="12">
        <f>15.1437*E37*F37</f>
        <v>15.1437</v>
      </c>
      <c r="J37" s="12">
        <f>4643.02653804*E37*F37</f>
        <v>4643.02653804</v>
      </c>
      <c r="K37" s="12">
        <f>1888.556016144*E37*F37</f>
        <v>1888.556016144</v>
      </c>
      <c r="L37" s="12">
        <f aca="true" t="shared" si="5" ref="L37:L68">0*E37*F37</f>
        <v>0</v>
      </c>
      <c r="M37" s="29">
        <f t="shared" si="4"/>
        <v>126.80304679823999</v>
      </c>
      <c r="N37" s="14">
        <f aca="true" t="shared" si="6" ref="N37:N68">SUM(G37:L37)</f>
        <v>12680.304679824</v>
      </c>
    </row>
    <row r="38" spans="2:14" ht="40.5" customHeight="1" thickBot="1" thickTop="1">
      <c r="B38" s="7">
        <v>34</v>
      </c>
      <c r="C38" s="5" t="s">
        <v>67</v>
      </c>
      <c r="D38" s="5" t="s">
        <v>66</v>
      </c>
      <c r="E38" s="9">
        <v>1</v>
      </c>
      <c r="F38" s="9">
        <v>1</v>
      </c>
      <c r="G38" s="12">
        <f>3426.23358*E38*F38</f>
        <v>3426.23358</v>
      </c>
      <c r="H38" s="12">
        <f>1510.88232564*E38*F38</f>
        <v>1510.88232564</v>
      </c>
      <c r="I38" s="12">
        <f>15.1437*E38*F38</f>
        <v>15.1437</v>
      </c>
      <c r="J38" s="12">
        <f>3444.171093*E38*F38</f>
        <v>3444.171093</v>
      </c>
      <c r="K38" s="12">
        <f>1469.375372262*E38*F38</f>
        <v>1469.375372262</v>
      </c>
      <c r="L38" s="12">
        <f t="shared" si="5"/>
        <v>0</v>
      </c>
      <c r="M38" s="29">
        <f t="shared" si="4"/>
        <v>98.65806070902</v>
      </c>
      <c r="N38" s="14">
        <f t="shared" si="6"/>
        <v>9865.806070902001</v>
      </c>
    </row>
    <row r="39" spans="2:14" ht="40.5" customHeight="1" thickBot="1" thickTop="1">
      <c r="B39" s="7">
        <v>35</v>
      </c>
      <c r="C39" s="5" t="s">
        <v>68</v>
      </c>
      <c r="D39" s="5" t="s">
        <v>56</v>
      </c>
      <c r="E39" s="9">
        <v>1</v>
      </c>
      <c r="F39" s="9">
        <v>1</v>
      </c>
      <c r="G39" s="12">
        <f>34306.665624*E39*F39</f>
        <v>34306.665624</v>
      </c>
      <c r="H39" s="12">
        <f>9031.624272*E39*F39</f>
        <v>9031.624272</v>
      </c>
      <c r="I39" s="12">
        <f>202.92558*E39*F39</f>
        <v>202.92558</v>
      </c>
      <c r="J39" s="12">
        <f>34523.818569504*E39*F39</f>
        <v>34523.818569504</v>
      </c>
      <c r="K39" s="12">
        <f>13661.380957963*E39*F39</f>
        <v>13661.380957963</v>
      </c>
      <c r="L39" s="12">
        <f t="shared" si="5"/>
        <v>0</v>
      </c>
      <c r="M39" s="29">
        <f t="shared" si="4"/>
        <v>917.26415003467</v>
      </c>
      <c r="N39" s="14">
        <f t="shared" si="6"/>
        <v>91726.415003467</v>
      </c>
    </row>
    <row r="40" spans="2:14" ht="40.5" customHeight="1" thickBot="1" thickTop="1">
      <c r="B40" s="7">
        <v>36</v>
      </c>
      <c r="C40" s="5" t="s">
        <v>69</v>
      </c>
      <c r="D40" s="5" t="s">
        <v>70</v>
      </c>
      <c r="E40" s="9">
        <v>1</v>
      </c>
      <c r="F40" s="9">
        <v>1</v>
      </c>
      <c r="G40" s="12">
        <f>7631.2698*E40*F40</f>
        <v>7631.2698</v>
      </c>
      <c r="H40" s="12">
        <f>38618.523591984*E40*F40</f>
        <v>38618.523591984</v>
      </c>
      <c r="I40" s="12">
        <f>0*E40*F40</f>
        <v>0</v>
      </c>
      <c r="J40" s="12">
        <f>7646.5323396*E40*F40</f>
        <v>7646.5323396</v>
      </c>
      <c r="K40" s="12">
        <f>9431.8570030272*E40*F40</f>
        <v>9431.8570030272</v>
      </c>
      <c r="L40" s="12">
        <f t="shared" si="5"/>
        <v>0</v>
      </c>
      <c r="M40" s="29">
        <f t="shared" si="4"/>
        <v>633.2818273461121</v>
      </c>
      <c r="N40" s="14">
        <f t="shared" si="6"/>
        <v>63328.182734611204</v>
      </c>
    </row>
    <row r="41" spans="2:14" ht="40.5" customHeight="1" thickBot="1" thickTop="1">
      <c r="B41" s="7">
        <v>37</v>
      </c>
      <c r="C41" s="5" t="s">
        <v>71</v>
      </c>
      <c r="D41" s="5" t="s">
        <v>72</v>
      </c>
      <c r="E41" s="9">
        <v>1</v>
      </c>
      <c r="F41" s="9">
        <v>1</v>
      </c>
      <c r="G41" s="12">
        <f>8785.9728*E41*F41</f>
        <v>8785.9728</v>
      </c>
      <c r="H41" s="12">
        <f>4005.5029591896*E41*F41</f>
        <v>4005.5029591896</v>
      </c>
      <c r="I41" s="12">
        <f>0*E41*F41</f>
        <v>0</v>
      </c>
      <c r="J41" s="12">
        <f>8803.5447456*E41*F41</f>
        <v>8803.5447456</v>
      </c>
      <c r="K41" s="12">
        <f>3779.1285883382*E41*F41</f>
        <v>3779.1285883382</v>
      </c>
      <c r="L41" s="12">
        <f t="shared" si="5"/>
        <v>0</v>
      </c>
      <c r="M41" s="29">
        <f t="shared" si="4"/>
        <v>253.741490931278</v>
      </c>
      <c r="N41" s="14">
        <f t="shared" si="6"/>
        <v>25374.149093127802</v>
      </c>
    </row>
    <row r="42" spans="2:14" ht="40.5" customHeight="1" thickBot="1" thickTop="1">
      <c r="B42" s="7">
        <v>38</v>
      </c>
      <c r="C42" s="5" t="s">
        <v>73</v>
      </c>
      <c r="D42" s="5" t="s">
        <v>72</v>
      </c>
      <c r="E42" s="9">
        <v>1</v>
      </c>
      <c r="F42" s="9">
        <v>1</v>
      </c>
      <c r="G42" s="12">
        <f>10250.3016*E42*F42</f>
        <v>10250.3016</v>
      </c>
      <c r="H42" s="12">
        <f>7953.929906328*E42*F42</f>
        <v>7953.929906328</v>
      </c>
      <c r="I42" s="12">
        <f>0*E42*F42</f>
        <v>0</v>
      </c>
      <c r="J42" s="12">
        <f>10270.8022032*E42*F42</f>
        <v>10270.8022032</v>
      </c>
      <c r="K42" s="12">
        <f>4983.1308991674*E42*F42</f>
        <v>4983.1308991674</v>
      </c>
      <c r="L42" s="12">
        <f t="shared" si="5"/>
        <v>0</v>
      </c>
      <c r="M42" s="29">
        <f t="shared" si="4"/>
        <v>334.581646086954</v>
      </c>
      <c r="N42" s="14">
        <f t="shared" si="6"/>
        <v>33458.1646086954</v>
      </c>
    </row>
    <row r="43" spans="2:14" ht="40.5" customHeight="1" thickBot="1" thickTop="1">
      <c r="B43" s="7">
        <v>39</v>
      </c>
      <c r="C43" s="5" t="s">
        <v>74</v>
      </c>
      <c r="D43" s="5" t="s">
        <v>75</v>
      </c>
      <c r="E43" s="9">
        <v>1</v>
      </c>
      <c r="F43" s="9">
        <v>1</v>
      </c>
      <c r="G43" s="12">
        <f>1636.5492*E43*F43</f>
        <v>1636.5492</v>
      </c>
      <c r="H43" s="12">
        <f>585.6609455928*E43*F43</f>
        <v>585.6609455928</v>
      </c>
      <c r="I43" s="12">
        <f>0*E43*F43</f>
        <v>0</v>
      </c>
      <c r="J43" s="12">
        <f>1639.8222984*E43*F43</f>
        <v>1639.8222984</v>
      </c>
      <c r="K43" s="12">
        <f>675.85567769874*E43*F43</f>
        <v>675.85567769874</v>
      </c>
      <c r="L43" s="12">
        <f t="shared" si="5"/>
        <v>0</v>
      </c>
      <c r="M43" s="29">
        <f t="shared" si="4"/>
        <v>45.378881216915396</v>
      </c>
      <c r="N43" s="14">
        <f t="shared" si="6"/>
        <v>4537.88812169154</v>
      </c>
    </row>
    <row r="44" spans="2:14" ht="40.5" customHeight="1" thickBot="1" thickTop="1">
      <c r="B44" s="7">
        <v>40</v>
      </c>
      <c r="C44" s="5" t="s">
        <v>76</v>
      </c>
      <c r="D44" s="5" t="s">
        <v>77</v>
      </c>
      <c r="E44" s="9">
        <v>1</v>
      </c>
      <c r="F44" s="9">
        <v>1</v>
      </c>
      <c r="G44" s="12">
        <f>6073.8678*E44*F44</f>
        <v>6073.8678</v>
      </c>
      <c r="H44" s="12">
        <f>14154.175293696*E44*F44</f>
        <v>14154.175293696</v>
      </c>
      <c r="I44" s="12">
        <f>127.237656*E44*F44</f>
        <v>127.237656</v>
      </c>
      <c r="J44" s="12">
        <f>6086.0155356*E44*F44</f>
        <v>6086.0155356</v>
      </c>
      <c r="K44" s="12">
        <f>4627.2268499268*E44*F44</f>
        <v>4627.2268499268</v>
      </c>
      <c r="L44" s="12">
        <f t="shared" si="5"/>
        <v>0</v>
      </c>
      <c r="M44" s="29">
        <f t="shared" si="4"/>
        <v>310.685231352228</v>
      </c>
      <c r="N44" s="14">
        <f t="shared" si="6"/>
        <v>31068.5231352228</v>
      </c>
    </row>
    <row r="45" spans="2:14" ht="40.5" customHeight="1" thickBot="1" thickTop="1">
      <c r="B45" s="7">
        <v>41</v>
      </c>
      <c r="C45" s="5" t="s">
        <v>78</v>
      </c>
      <c r="D45" s="5" t="s">
        <v>79</v>
      </c>
      <c r="E45" s="9">
        <v>1</v>
      </c>
      <c r="F45" s="9">
        <v>1</v>
      </c>
      <c r="G45" s="12">
        <f>699.62376*E45*F45</f>
        <v>699.62376</v>
      </c>
      <c r="H45" s="12">
        <f>2279.505423168*E45*F45</f>
        <v>2279.505423168</v>
      </c>
      <c r="I45" s="12">
        <f>0*E45*F45</f>
        <v>0</v>
      </c>
      <c r="J45" s="12">
        <f>701.02300752*E45*F45</f>
        <v>701.02300752</v>
      </c>
      <c r="K45" s="12">
        <f>644.0266333704*E45*F45</f>
        <v>644.0266333704</v>
      </c>
      <c r="L45" s="12">
        <f t="shared" si="5"/>
        <v>0</v>
      </c>
      <c r="M45" s="29">
        <f>N45/F45/E45/10</f>
        <v>432.41788240584003</v>
      </c>
      <c r="N45" s="14">
        <f t="shared" si="6"/>
        <v>4324.1788240584</v>
      </c>
    </row>
    <row r="46" spans="2:14" ht="40.5" customHeight="1" thickBot="1" thickTop="1">
      <c r="B46" s="7">
        <v>42</v>
      </c>
      <c r="C46" s="5" t="s">
        <v>80</v>
      </c>
      <c r="D46" s="5" t="s">
        <v>25</v>
      </c>
      <c r="E46" s="9">
        <v>1</v>
      </c>
      <c r="F46" s="9">
        <v>1</v>
      </c>
      <c r="G46" s="12">
        <f>24920.28*E46*F46</f>
        <v>24920.28</v>
      </c>
      <c r="H46" s="12">
        <f>8420.7004128*E46*F46</f>
        <v>8420.7004128</v>
      </c>
      <c r="I46" s="12">
        <f>0*E46*F46</f>
        <v>0</v>
      </c>
      <c r="J46" s="12">
        <f>24970.12056*E46*F46</f>
        <v>24970.12056</v>
      </c>
      <c r="K46" s="12">
        <f>10204.44267024*E46*F46</f>
        <v>10204.44267024</v>
      </c>
      <c r="L46" s="12">
        <f t="shared" si="5"/>
        <v>0</v>
      </c>
      <c r="M46" s="29">
        <f t="shared" si="4"/>
        <v>685.1554364303998</v>
      </c>
      <c r="N46" s="14">
        <f t="shared" si="6"/>
        <v>68515.54364303999</v>
      </c>
    </row>
    <row r="47" spans="2:14" ht="40.5" customHeight="1" thickBot="1" thickTop="1">
      <c r="B47" s="7">
        <v>43</v>
      </c>
      <c r="C47" s="5" t="s">
        <v>81</v>
      </c>
      <c r="D47" s="5" t="s">
        <v>25</v>
      </c>
      <c r="E47" s="9">
        <v>1</v>
      </c>
      <c r="F47" s="9">
        <v>1</v>
      </c>
      <c r="G47" s="12">
        <f>5791.19112*E47*F47</f>
        <v>5791.19112</v>
      </c>
      <c r="H47" s="12">
        <f>2759.111616568*E47*F47</f>
        <v>2759.111616568</v>
      </c>
      <c r="I47" s="12">
        <f>0*E47*F47</f>
        <v>0</v>
      </c>
      <c r="J47" s="12">
        <f>5802.77350224*E47*F47</f>
        <v>5802.77350224</v>
      </c>
      <c r="K47" s="12">
        <f>2511.7883417914*E47*F47</f>
        <v>2511.7883417914</v>
      </c>
      <c r="L47" s="12">
        <f t="shared" si="5"/>
        <v>0</v>
      </c>
      <c r="M47" s="29">
        <f t="shared" si="4"/>
        <v>168.64864580599402</v>
      </c>
      <c r="N47" s="14">
        <f t="shared" si="6"/>
        <v>16864.864580599402</v>
      </c>
    </row>
    <row r="48" spans="2:14" ht="40.5" customHeight="1" thickBot="1" thickTop="1">
      <c r="B48" s="7">
        <v>44</v>
      </c>
      <c r="C48" s="5" t="s">
        <v>82</v>
      </c>
      <c r="D48" s="5" t="s">
        <v>83</v>
      </c>
      <c r="E48" s="9">
        <v>1</v>
      </c>
      <c r="F48" s="9">
        <v>1</v>
      </c>
      <c r="G48" s="12">
        <f>23291.46468*E48*F48</f>
        <v>23291.46468</v>
      </c>
      <c r="H48" s="12">
        <f>7276.9172112*E48*F48</f>
        <v>7276.9172112</v>
      </c>
      <c r="I48" s="12">
        <f>4.82196*E48*F48</f>
        <v>4.82196</v>
      </c>
      <c r="J48" s="12">
        <f>23338.04760936*E48*F48</f>
        <v>23338.04760936</v>
      </c>
      <c r="K48" s="12">
        <f>9434.469005598*E48*F48</f>
        <v>9434.469005598</v>
      </c>
      <c r="L48" s="12">
        <f t="shared" si="5"/>
        <v>0</v>
      </c>
      <c r="M48" s="29">
        <f t="shared" si="4"/>
        <v>633.45720466158</v>
      </c>
      <c r="N48" s="14">
        <f t="shared" si="6"/>
        <v>63345.720466158</v>
      </c>
    </row>
    <row r="49" spans="2:14" ht="40.5" customHeight="1" thickBot="1" thickTop="1">
      <c r="B49" s="7">
        <v>45</v>
      </c>
      <c r="C49" s="5" t="s">
        <v>84</v>
      </c>
      <c r="D49" s="5" t="s">
        <v>85</v>
      </c>
      <c r="E49" s="9">
        <v>1</v>
      </c>
      <c r="F49" s="9">
        <v>1</v>
      </c>
      <c r="G49" s="12">
        <f>30100.092*E49*F49</f>
        <v>30100.092</v>
      </c>
      <c r="H49" s="12">
        <f>383029.08928164*E49*F49</f>
        <v>383029.08928164</v>
      </c>
      <c r="I49" s="12">
        <f>0*E49*F49</f>
        <v>0</v>
      </c>
      <c r="J49" s="12">
        <f>30160.292184*E49*F49</f>
        <v>30160.292184</v>
      </c>
      <c r="K49" s="12">
        <f>77575.657856487*E49*F49</f>
        <v>77575.657856487</v>
      </c>
      <c r="L49" s="12">
        <f t="shared" si="5"/>
        <v>0</v>
      </c>
      <c r="M49" s="29">
        <f t="shared" si="4"/>
        <v>5208.65131322127</v>
      </c>
      <c r="N49" s="14">
        <f t="shared" si="6"/>
        <v>520865.13132212707</v>
      </c>
    </row>
    <row r="50" spans="2:14" ht="40.5" customHeight="1" thickBot="1" thickTop="1">
      <c r="B50" s="7">
        <v>46</v>
      </c>
      <c r="C50" s="5" t="s">
        <v>86</v>
      </c>
      <c r="D50" s="5" t="s">
        <v>87</v>
      </c>
      <c r="E50" s="9">
        <v>1</v>
      </c>
      <c r="F50" s="9">
        <v>1</v>
      </c>
      <c r="G50" s="12">
        <f>6104.65152*E50*F50</f>
        <v>6104.65152</v>
      </c>
      <c r="H50" s="12">
        <f>3219.7774104*E50*F50</f>
        <v>3219.7774104</v>
      </c>
      <c r="I50" s="12">
        <f>0*E50*F50</f>
        <v>0</v>
      </c>
      <c r="J50" s="12">
        <f>6116.86082304*E50*F50</f>
        <v>6116.86082304</v>
      </c>
      <c r="K50" s="12">
        <f>2702.225706852*E50*F50</f>
        <v>2702.225706852</v>
      </c>
      <c r="L50" s="12">
        <f t="shared" si="5"/>
        <v>0</v>
      </c>
      <c r="M50" s="29">
        <f t="shared" si="4"/>
        <v>181.43515460292002</v>
      </c>
      <c r="N50" s="14">
        <f t="shared" si="6"/>
        <v>18143.515460292</v>
      </c>
    </row>
    <row r="51" spans="2:14" ht="40.5" customHeight="1" thickBot="1" thickTop="1">
      <c r="B51" s="7">
        <v>47</v>
      </c>
      <c r="C51" s="5" t="s">
        <v>88</v>
      </c>
      <c r="D51" s="5" t="s">
        <v>38</v>
      </c>
      <c r="E51" s="9">
        <v>1</v>
      </c>
      <c r="F51" s="9">
        <v>1</v>
      </c>
      <c r="G51" s="12">
        <f>2780.20974*E51*F51</f>
        <v>2780.20974</v>
      </c>
      <c r="H51" s="12">
        <f>1768.524676848*E51*F51</f>
        <v>1768.524676848</v>
      </c>
      <c r="I51" s="12">
        <f>0.43836*E51*F51</f>
        <v>0.43836</v>
      </c>
      <c r="J51" s="12">
        <f>2785.77015948*E51*F51</f>
        <v>2785.77015948</v>
      </c>
      <c r="K51" s="12">
        <f>1283.6150138574*E51*F51</f>
        <v>1283.6150138574</v>
      </c>
      <c r="L51" s="12">
        <f t="shared" si="5"/>
        <v>0</v>
      </c>
      <c r="M51" s="29">
        <f t="shared" si="4"/>
        <v>86.185579501854</v>
      </c>
      <c r="N51" s="14">
        <f t="shared" si="6"/>
        <v>8618.557950185399</v>
      </c>
    </row>
    <row r="52" spans="2:14" ht="40.5" customHeight="1" thickBot="1" thickTop="1">
      <c r="B52" s="7">
        <v>48</v>
      </c>
      <c r="C52" s="5" t="s">
        <v>89</v>
      </c>
      <c r="D52" s="5" t="s">
        <v>38</v>
      </c>
      <c r="E52" s="9">
        <v>1</v>
      </c>
      <c r="F52" s="9">
        <v>1</v>
      </c>
      <c r="G52" s="12">
        <f>6852.5688*E52*F52</f>
        <v>6852.5688</v>
      </c>
      <c r="H52" s="12">
        <f>5973.2274319488*E52*F52</f>
        <v>5973.2274319488</v>
      </c>
      <c r="I52" s="12">
        <f aca="true" t="shared" si="7" ref="I52:I81">0*E52*F52</f>
        <v>0</v>
      </c>
      <c r="J52" s="12">
        <f>6866.2739376*E52*F52</f>
        <v>6866.2739376</v>
      </c>
      <c r="K52" s="12">
        <f>3446.112279671*E52*F52</f>
        <v>3446.112279671</v>
      </c>
      <c r="L52" s="12">
        <f t="shared" si="5"/>
        <v>0</v>
      </c>
      <c r="M52" s="29">
        <f t="shared" si="4"/>
        <v>231.381824492198</v>
      </c>
      <c r="N52" s="14">
        <f t="shared" si="6"/>
        <v>23138.1824492198</v>
      </c>
    </row>
    <row r="53" spans="2:14" ht="40.5" customHeight="1" thickBot="1" thickTop="1">
      <c r="B53" s="7">
        <v>49</v>
      </c>
      <c r="C53" s="5" t="s">
        <v>24</v>
      </c>
      <c r="D53" s="5" t="s">
        <v>25</v>
      </c>
      <c r="E53" s="9">
        <v>1</v>
      </c>
      <c r="F53" s="9">
        <v>1</v>
      </c>
      <c r="G53" s="12">
        <f>20481.006*E53*F53</f>
        <v>20481.006</v>
      </c>
      <c r="H53" s="12">
        <f>48401.136288*E53*F53</f>
        <v>48401.136288</v>
      </c>
      <c r="I53" s="12">
        <f t="shared" si="7"/>
        <v>0</v>
      </c>
      <c r="J53" s="12">
        <f>20521.968012*E53*F53</f>
        <v>20521.968012</v>
      </c>
      <c r="K53" s="12">
        <f>15645.7193025*E53*F53</f>
        <v>15645.7193025</v>
      </c>
      <c r="L53" s="12">
        <f t="shared" si="5"/>
        <v>0</v>
      </c>
      <c r="M53" s="29">
        <f t="shared" si="4"/>
        <v>1050.498296025</v>
      </c>
      <c r="N53" s="14">
        <f t="shared" si="6"/>
        <v>105049.8296025</v>
      </c>
    </row>
    <row r="54" spans="2:14" ht="40.5" customHeight="1" thickBot="1" thickTop="1">
      <c r="B54" s="7">
        <v>50</v>
      </c>
      <c r="C54" s="5" t="s">
        <v>90</v>
      </c>
      <c r="D54" s="5" t="s">
        <v>25</v>
      </c>
      <c r="E54" s="9">
        <v>1</v>
      </c>
      <c r="F54" s="9">
        <v>1</v>
      </c>
      <c r="G54" s="12">
        <f>24920.28*E54*F54</f>
        <v>24920.28</v>
      </c>
      <c r="H54" s="12">
        <f>8420.7004128*E54*F54</f>
        <v>8420.7004128</v>
      </c>
      <c r="I54" s="12">
        <f t="shared" si="7"/>
        <v>0</v>
      </c>
      <c r="J54" s="12">
        <f>24970.12056*E54*F54</f>
        <v>24970.12056</v>
      </c>
      <c r="K54" s="12">
        <f>10204.44267024*E54*F54</f>
        <v>10204.44267024</v>
      </c>
      <c r="L54" s="12">
        <f t="shared" si="5"/>
        <v>0</v>
      </c>
      <c r="M54" s="29">
        <f t="shared" si="4"/>
        <v>685.1554364303998</v>
      </c>
      <c r="N54" s="14">
        <f t="shared" si="6"/>
        <v>68515.54364303999</v>
      </c>
    </row>
    <row r="55" spans="2:14" ht="40.5" customHeight="1" thickBot="1" thickTop="1">
      <c r="B55" s="7">
        <v>51</v>
      </c>
      <c r="C55" s="5" t="s">
        <v>91</v>
      </c>
      <c r="D55" s="5" t="s">
        <v>92</v>
      </c>
      <c r="E55" s="9">
        <v>1</v>
      </c>
      <c r="F55" s="9">
        <v>1</v>
      </c>
      <c r="G55" s="12">
        <f>12770.6964*E55*F55</f>
        <v>12770.6964</v>
      </c>
      <c r="H55" s="12">
        <f>23086.07614368*E55*F55</f>
        <v>23086.07614368</v>
      </c>
      <c r="I55" s="12">
        <f t="shared" si="7"/>
        <v>0</v>
      </c>
      <c r="J55" s="12">
        <f>12796.2377928*E55*F55</f>
        <v>12796.2377928</v>
      </c>
      <c r="K55" s="12">
        <f>8514.276808884*E55*F55</f>
        <v>8514.276808884</v>
      </c>
      <c r="L55" s="12">
        <f t="shared" si="5"/>
        <v>0</v>
      </c>
      <c r="M55" s="29">
        <f t="shared" si="4"/>
        <v>571.6728714536399</v>
      </c>
      <c r="N55" s="14">
        <f t="shared" si="6"/>
        <v>57167.287145364</v>
      </c>
    </row>
    <row r="56" spans="2:14" ht="40.5" customHeight="1" thickBot="1" thickTop="1">
      <c r="B56" s="7">
        <v>52</v>
      </c>
      <c r="C56" s="5" t="s">
        <v>93</v>
      </c>
      <c r="D56" s="5" t="s">
        <v>92</v>
      </c>
      <c r="E56" s="9">
        <v>1</v>
      </c>
      <c r="F56" s="9">
        <v>1</v>
      </c>
      <c r="G56" s="12">
        <f>18065.8632*E56*F56</f>
        <v>18065.8632</v>
      </c>
      <c r="H56" s="12">
        <f>40420.0861488*E56*F56</f>
        <v>40420.0861488</v>
      </c>
      <c r="I56" s="12">
        <f t="shared" si="7"/>
        <v>0</v>
      </c>
      <c r="J56" s="12">
        <f>18101.9949264*E56*F56</f>
        <v>18101.9949264</v>
      </c>
      <c r="K56" s="12">
        <f>13402.89024816*E56*F56</f>
        <v>13402.89024816</v>
      </c>
      <c r="L56" s="12">
        <f t="shared" si="5"/>
        <v>0</v>
      </c>
      <c r="M56" s="29">
        <f t="shared" si="4"/>
        <v>899.9083452336</v>
      </c>
      <c r="N56" s="14">
        <f t="shared" si="6"/>
        <v>89990.83452336</v>
      </c>
    </row>
    <row r="57" spans="2:14" ht="40.5" customHeight="1" thickBot="1" thickTop="1">
      <c r="B57" s="7">
        <v>53</v>
      </c>
      <c r="C57" s="5" t="s">
        <v>94</v>
      </c>
      <c r="D57" s="5" t="s">
        <v>95</v>
      </c>
      <c r="E57" s="9">
        <v>1</v>
      </c>
      <c r="F57" s="9">
        <v>1</v>
      </c>
      <c r="G57" s="12">
        <f>18377.3436*E57*F57</f>
        <v>18377.3436</v>
      </c>
      <c r="H57" s="12">
        <f>25923.620610072*E57*F57</f>
        <v>25923.620610072</v>
      </c>
      <c r="I57" s="12">
        <f t="shared" si="7"/>
        <v>0</v>
      </c>
      <c r="J57" s="12">
        <f>18414.0982872*E57*F57</f>
        <v>18414.0982872</v>
      </c>
      <c r="K57" s="12">
        <f>10975.135937023*E57*F57</f>
        <v>10975.135937023</v>
      </c>
      <c r="L57" s="12">
        <f t="shared" si="5"/>
        <v>0</v>
      </c>
      <c r="M57" s="29">
        <f t="shared" si="4"/>
        <v>736.9019843429501</v>
      </c>
      <c r="N57" s="14">
        <f t="shared" si="6"/>
        <v>73690.198434295</v>
      </c>
    </row>
    <row r="58" spans="2:14" ht="40.5" customHeight="1" thickBot="1" thickTop="1">
      <c r="B58" s="7">
        <v>54</v>
      </c>
      <c r="C58" s="5" t="s">
        <v>96</v>
      </c>
      <c r="D58" s="5" t="s">
        <v>38</v>
      </c>
      <c r="E58" s="9">
        <v>1</v>
      </c>
      <c r="F58" s="9">
        <v>1</v>
      </c>
      <c r="G58" s="12">
        <f>1868.8824*E58*F58</f>
        <v>1868.8824</v>
      </c>
      <c r="H58" s="12">
        <f>3908.549020896*E58*F58</f>
        <v>3908.549020896</v>
      </c>
      <c r="I58" s="12">
        <f t="shared" si="7"/>
        <v>0</v>
      </c>
      <c r="J58" s="12">
        <f>1872.6201648*E58*F58</f>
        <v>1872.6201648</v>
      </c>
      <c r="K58" s="12">
        <f>1338.7590274968*E58*F58</f>
        <v>1338.7590274968</v>
      </c>
      <c r="L58" s="12">
        <f t="shared" si="5"/>
        <v>0</v>
      </c>
      <c r="M58" s="29">
        <f t="shared" si="4"/>
        <v>89.88810613192801</v>
      </c>
      <c r="N58" s="14">
        <f t="shared" si="6"/>
        <v>8988.810613192802</v>
      </c>
    </row>
    <row r="59" spans="2:14" ht="40.5" customHeight="1" thickBot="1" thickTop="1">
      <c r="B59" s="7">
        <v>55</v>
      </c>
      <c r="C59" s="5" t="s">
        <v>97</v>
      </c>
      <c r="D59" s="5" t="s">
        <v>98</v>
      </c>
      <c r="E59" s="9">
        <v>1</v>
      </c>
      <c r="F59" s="9">
        <v>1</v>
      </c>
      <c r="G59" s="12">
        <f>8639.0304*E59*F59</f>
        <v>8639.0304</v>
      </c>
      <c r="H59" s="12">
        <f>52363.633436928*E59*F59</f>
        <v>52363.633436928</v>
      </c>
      <c r="I59" s="12">
        <f t="shared" si="7"/>
        <v>0</v>
      </c>
      <c r="J59" s="12">
        <f>8656.3084608*E59*F59</f>
        <v>8656.3084608</v>
      </c>
      <c r="K59" s="12">
        <f>12190.320152102*E59*F59</f>
        <v>12190.320152102</v>
      </c>
      <c r="L59" s="12">
        <f t="shared" si="5"/>
        <v>0</v>
      </c>
      <c r="M59" s="29">
        <f t="shared" si="4"/>
        <v>818.4929244983</v>
      </c>
      <c r="N59" s="14">
        <f t="shared" si="6"/>
        <v>81849.29244983</v>
      </c>
    </row>
    <row r="60" spans="2:14" ht="40.5" customHeight="1" thickBot="1" thickTop="1">
      <c r="B60" s="7">
        <v>56</v>
      </c>
      <c r="C60" s="5" t="s">
        <v>99</v>
      </c>
      <c r="D60" s="5" t="s">
        <v>98</v>
      </c>
      <c r="E60" s="9">
        <v>1</v>
      </c>
      <c r="F60" s="9">
        <v>1</v>
      </c>
      <c r="G60" s="12">
        <f>19936.224*E60*F60</f>
        <v>19936.224</v>
      </c>
      <c r="H60" s="12">
        <f>52363.633436928*E60*F60</f>
        <v>52363.633436928</v>
      </c>
      <c r="I60" s="12">
        <f t="shared" si="7"/>
        <v>0</v>
      </c>
      <c r="J60" s="12">
        <f>19976.096448*E60*F60</f>
        <v>19976.096448</v>
      </c>
      <c r="K60" s="12">
        <f>16148.291929862*E60*F60</f>
        <v>16148.291929862</v>
      </c>
      <c r="L60" s="12">
        <f t="shared" si="5"/>
        <v>0</v>
      </c>
      <c r="M60" s="29">
        <f t="shared" si="4"/>
        <v>1084.2424581479</v>
      </c>
      <c r="N60" s="14">
        <f t="shared" si="6"/>
        <v>108424.24581478999</v>
      </c>
    </row>
    <row r="61" spans="2:14" ht="40.5" customHeight="1" thickBot="1" thickTop="1">
      <c r="B61" s="7">
        <v>57</v>
      </c>
      <c r="C61" s="5" t="s">
        <v>100</v>
      </c>
      <c r="D61" s="5" t="s">
        <v>98</v>
      </c>
      <c r="E61" s="9">
        <v>1</v>
      </c>
      <c r="F61" s="9">
        <v>1</v>
      </c>
      <c r="G61" s="12">
        <f>6313.1376*E61*F61</f>
        <v>6313.1376</v>
      </c>
      <c r="H61" s="12">
        <f>27918.550100592*E61*F61</f>
        <v>27918.550100592</v>
      </c>
      <c r="I61" s="12">
        <f t="shared" si="7"/>
        <v>0</v>
      </c>
      <c r="J61" s="12">
        <f>6325.7638752*E61*F61</f>
        <v>6325.7638752</v>
      </c>
      <c r="K61" s="12">
        <f>7097.5540257636*E61*F61</f>
        <v>7097.5540257636</v>
      </c>
      <c r="L61" s="12">
        <f t="shared" si="5"/>
        <v>0</v>
      </c>
      <c r="M61" s="29">
        <f t="shared" si="4"/>
        <v>476.55005601555604</v>
      </c>
      <c r="N61" s="14">
        <f t="shared" si="6"/>
        <v>47655.005601555604</v>
      </c>
    </row>
    <row r="62" spans="2:14" ht="40.5" customHeight="1" thickBot="1" thickTop="1">
      <c r="B62" s="7">
        <v>58</v>
      </c>
      <c r="C62" s="5" t="s">
        <v>101</v>
      </c>
      <c r="D62" s="5" t="s">
        <v>102</v>
      </c>
      <c r="E62" s="9">
        <v>1</v>
      </c>
      <c r="F62" s="9">
        <v>1</v>
      </c>
      <c r="G62" s="12">
        <f>9469.7064*E62*F62</f>
        <v>9469.7064</v>
      </c>
      <c r="H62" s="12">
        <f>25448.68284071*E62*F62</f>
        <v>25448.68284071</v>
      </c>
      <c r="I62" s="12">
        <f t="shared" si="7"/>
        <v>0</v>
      </c>
      <c r="J62" s="12">
        <f>9488.6458128*E62*F62</f>
        <v>9488.6458128</v>
      </c>
      <c r="K62" s="12">
        <f>7771.2311343643*E62*F62</f>
        <v>7771.2311343643</v>
      </c>
      <c r="L62" s="12">
        <f t="shared" si="5"/>
        <v>0</v>
      </c>
      <c r="M62" s="29">
        <f t="shared" si="4"/>
        <v>521.782661878743</v>
      </c>
      <c r="N62" s="14">
        <f t="shared" si="6"/>
        <v>52178.2661878743</v>
      </c>
    </row>
    <row r="63" spans="2:14" ht="40.5" customHeight="1" thickBot="1" thickTop="1">
      <c r="B63" s="7">
        <v>59</v>
      </c>
      <c r="C63" s="5" t="s">
        <v>103</v>
      </c>
      <c r="D63" s="5" t="s">
        <v>38</v>
      </c>
      <c r="E63" s="9">
        <v>1</v>
      </c>
      <c r="F63" s="9">
        <v>1</v>
      </c>
      <c r="G63" s="12">
        <f>3426.2844*E63*F63</f>
        <v>3426.2844</v>
      </c>
      <c r="H63" s="12">
        <f>2164.70488176*E63*F63</f>
        <v>2164.70488176</v>
      </c>
      <c r="I63" s="12">
        <f t="shared" si="7"/>
        <v>0</v>
      </c>
      <c r="J63" s="12">
        <f>3433.1369688*E63*F63</f>
        <v>3433.1369688</v>
      </c>
      <c r="K63" s="12">
        <f>1579.222093848*E63*F63</f>
        <v>1579.222093848</v>
      </c>
      <c r="L63" s="12">
        <f t="shared" si="5"/>
        <v>0</v>
      </c>
      <c r="M63" s="29">
        <f t="shared" si="4"/>
        <v>106.03348344407999</v>
      </c>
      <c r="N63" s="14">
        <f t="shared" si="6"/>
        <v>10603.348344408</v>
      </c>
    </row>
    <row r="64" spans="2:14" ht="40.5" customHeight="1" thickBot="1" thickTop="1">
      <c r="B64" s="7">
        <v>60</v>
      </c>
      <c r="C64" s="5" t="s">
        <v>104</v>
      </c>
      <c r="D64" s="5" t="s">
        <v>92</v>
      </c>
      <c r="E64" s="9">
        <v>1</v>
      </c>
      <c r="F64" s="9">
        <v>1</v>
      </c>
      <c r="G64" s="12">
        <f>10278.8532*E64*F64</f>
        <v>10278.8532</v>
      </c>
      <c r="H64" s="12">
        <f>28433.44854288*E64*F64</f>
        <v>28433.44854288</v>
      </c>
      <c r="I64" s="12">
        <f t="shared" si="7"/>
        <v>0</v>
      </c>
      <c r="J64" s="12">
        <f>10299.4109064*E64*F64</f>
        <v>10299.4109064</v>
      </c>
      <c r="K64" s="12">
        <f>8577.049713624*E64*F64</f>
        <v>8577.049713624</v>
      </c>
      <c r="L64" s="12">
        <f t="shared" si="5"/>
        <v>0</v>
      </c>
      <c r="M64" s="29">
        <f t="shared" si="4"/>
        <v>575.88762362904</v>
      </c>
      <c r="N64" s="14">
        <f t="shared" si="6"/>
        <v>57588.762362904</v>
      </c>
    </row>
    <row r="65" spans="2:14" ht="40.5" customHeight="1" thickBot="1" thickTop="1">
      <c r="B65" s="7">
        <v>61</v>
      </c>
      <c r="C65" s="5" t="s">
        <v>105</v>
      </c>
      <c r="D65" s="5" t="s">
        <v>106</v>
      </c>
      <c r="E65" s="9">
        <v>1</v>
      </c>
      <c r="F65" s="9">
        <v>1</v>
      </c>
      <c r="G65" s="12">
        <f>13237.917*E65*F65</f>
        <v>13237.917</v>
      </c>
      <c r="H65" s="12">
        <f>16120.15635312*E65*F65</f>
        <v>16120.15635312</v>
      </c>
      <c r="I65" s="12">
        <f t="shared" si="7"/>
        <v>0</v>
      </c>
      <c r="J65" s="12">
        <f>13264.392834*E65*F65</f>
        <v>13264.392834</v>
      </c>
      <c r="K65" s="12">
        <f>7458.931582746*E65*F65</f>
        <v>7458.931582746</v>
      </c>
      <c r="L65" s="12">
        <f t="shared" si="5"/>
        <v>0</v>
      </c>
      <c r="M65" s="29">
        <f t="shared" si="4"/>
        <v>500.81397769866004</v>
      </c>
      <c r="N65" s="14">
        <f t="shared" si="6"/>
        <v>50081.397769866</v>
      </c>
    </row>
    <row r="66" spans="2:14" ht="40.5" customHeight="1" thickBot="1" thickTop="1">
      <c r="B66" s="7">
        <v>62</v>
      </c>
      <c r="C66" s="5" t="s">
        <v>107</v>
      </c>
      <c r="D66" s="5" t="s">
        <v>106</v>
      </c>
      <c r="E66" s="9">
        <v>1</v>
      </c>
      <c r="F66" s="9">
        <v>1</v>
      </c>
      <c r="G66" s="12">
        <f>33795.6234*E66*F66</f>
        <v>33795.6234</v>
      </c>
      <c r="H66" s="12">
        <f>16120.15635312*E66*F66</f>
        <v>16120.15635312</v>
      </c>
      <c r="I66" s="12">
        <f t="shared" si="7"/>
        <v>0</v>
      </c>
      <c r="J66" s="12">
        <f>33863.2146468*E66*F66</f>
        <v>33863.2146468</v>
      </c>
      <c r="K66" s="12">
        <f>14661.324019986*E66*F66</f>
        <v>14661.324019986</v>
      </c>
      <c r="L66" s="12">
        <f t="shared" si="5"/>
        <v>0</v>
      </c>
      <c r="M66" s="29">
        <f t="shared" si="4"/>
        <v>984.4031841990599</v>
      </c>
      <c r="N66" s="14">
        <f t="shared" si="6"/>
        <v>98440.31841990599</v>
      </c>
    </row>
    <row r="67" spans="2:14" ht="40.5" customHeight="1" thickBot="1" thickTop="1">
      <c r="B67" s="7">
        <v>63</v>
      </c>
      <c r="C67" s="5" t="s">
        <v>108</v>
      </c>
      <c r="D67" s="5" t="s">
        <v>38</v>
      </c>
      <c r="E67" s="9">
        <v>1</v>
      </c>
      <c r="F67" s="9">
        <v>1</v>
      </c>
      <c r="G67" s="12">
        <f>8254.2306*E67*F67</f>
        <v>8254.2306</v>
      </c>
      <c r="H67" s="12">
        <f>6211.4166079488*E67*F67</f>
        <v>6211.4166079488</v>
      </c>
      <c r="I67" s="12">
        <f t="shared" si="7"/>
        <v>0</v>
      </c>
      <c r="J67" s="12">
        <f>8270.7390612*E67*F67</f>
        <v>8270.7390612</v>
      </c>
      <c r="K67" s="12">
        <f>3978.867597101*E67*F67</f>
        <v>3978.867597101</v>
      </c>
      <c r="L67" s="12">
        <f t="shared" si="5"/>
        <v>0</v>
      </c>
      <c r="M67" s="29">
        <f t="shared" si="4"/>
        <v>267.15253866249805</v>
      </c>
      <c r="N67" s="14">
        <f t="shared" si="6"/>
        <v>26715.253866249805</v>
      </c>
    </row>
    <row r="68" spans="2:14" ht="40.5" customHeight="1" thickBot="1" thickTop="1">
      <c r="B68" s="7">
        <v>64</v>
      </c>
      <c r="C68" s="5" t="s">
        <v>109</v>
      </c>
      <c r="D68" s="5" t="s">
        <v>110</v>
      </c>
      <c r="E68" s="9">
        <v>1</v>
      </c>
      <c r="F68" s="9">
        <v>1</v>
      </c>
      <c r="G68" s="12">
        <f>8877.1914*E68*F68</f>
        <v>8877.1914</v>
      </c>
      <c r="H68" s="12">
        <f>6989.404701816*E68*F68</f>
        <v>6989.404701816</v>
      </c>
      <c r="I68" s="12">
        <f t="shared" si="7"/>
        <v>0</v>
      </c>
      <c r="J68" s="12">
        <f>8894.9457828*E68*F68</f>
        <v>8894.9457828</v>
      </c>
      <c r="K68" s="12">
        <f>4333.2698298078*E68*F68</f>
        <v>4333.2698298078</v>
      </c>
      <c r="L68" s="12">
        <f t="shared" si="5"/>
        <v>0</v>
      </c>
      <c r="M68" s="29">
        <f t="shared" si="4"/>
        <v>290.948117144238</v>
      </c>
      <c r="N68" s="14">
        <f t="shared" si="6"/>
        <v>29094.8117144238</v>
      </c>
    </row>
    <row r="69" spans="2:14" ht="40.5" customHeight="1" thickBot="1" thickTop="1">
      <c r="B69" s="7">
        <v>65</v>
      </c>
      <c r="C69" s="5" t="s">
        <v>111</v>
      </c>
      <c r="D69" s="5" t="s">
        <v>112</v>
      </c>
      <c r="E69" s="9">
        <v>1</v>
      </c>
      <c r="F69" s="9">
        <v>1</v>
      </c>
      <c r="G69" s="12">
        <f>11093.592312*E69*F69</f>
        <v>11093.592312</v>
      </c>
      <c r="H69" s="12">
        <f>14251.83831612*E69*F69</f>
        <v>14251.83831612</v>
      </c>
      <c r="I69" s="12">
        <f t="shared" si="7"/>
        <v>0</v>
      </c>
      <c r="J69" s="12">
        <f>11115.779496624*E69*F69</f>
        <v>11115.779496624</v>
      </c>
      <c r="K69" s="12">
        <f>6380.7117718302*E69*F69</f>
        <v>6380.7117718302</v>
      </c>
      <c r="L69" s="12">
        <f aca="true" t="shared" si="8" ref="L69:L100">0*E69*F69</f>
        <v>0</v>
      </c>
      <c r="M69" s="29">
        <f>N69/F69/E69/10</f>
        <v>4284.19218965742</v>
      </c>
      <c r="N69" s="14">
        <f aca="true" t="shared" si="9" ref="N69:N100">SUM(G69:L69)</f>
        <v>42841.921896574204</v>
      </c>
    </row>
    <row r="70" spans="2:14" ht="40.5" customHeight="1" thickBot="1" thickTop="1">
      <c r="B70" s="7">
        <v>66</v>
      </c>
      <c r="C70" s="5" t="s">
        <v>113</v>
      </c>
      <c r="D70" s="5" t="s">
        <v>112</v>
      </c>
      <c r="E70" s="9">
        <v>1</v>
      </c>
      <c r="F70" s="9">
        <v>1</v>
      </c>
      <c r="G70" s="12">
        <f>30757.130184*E70*F70</f>
        <v>30757.130184</v>
      </c>
      <c r="H70" s="12">
        <f>17866.13609196*E70*F70</f>
        <v>17866.13609196</v>
      </c>
      <c r="I70" s="12">
        <f t="shared" si="7"/>
        <v>0</v>
      </c>
      <c r="J70" s="12">
        <f>30818.644444368*E70*F70</f>
        <v>30818.644444368</v>
      </c>
      <c r="K70" s="12">
        <f>13902.334376057*E70*F70</f>
        <v>13902.334376057</v>
      </c>
      <c r="L70" s="12">
        <f t="shared" si="8"/>
        <v>0</v>
      </c>
      <c r="M70" s="29">
        <f>N70/F70/E70/10</f>
        <v>9334.424509638502</v>
      </c>
      <c r="N70" s="14">
        <f t="shared" si="9"/>
        <v>93344.24509638501</v>
      </c>
    </row>
    <row r="71" spans="2:14" ht="40.5" customHeight="1" thickBot="1" thickTop="1">
      <c r="B71" s="7">
        <v>67</v>
      </c>
      <c r="C71" s="5" t="s">
        <v>114</v>
      </c>
      <c r="D71" s="5" t="s">
        <v>115</v>
      </c>
      <c r="E71" s="9">
        <v>1</v>
      </c>
      <c r="F71" s="9">
        <v>1</v>
      </c>
      <c r="G71" s="12">
        <f>12040.0368*E71*F71</f>
        <v>12040.0368</v>
      </c>
      <c r="H71" s="12">
        <f>7608.367516392*E71*F71</f>
        <v>7608.367516392</v>
      </c>
      <c r="I71" s="12">
        <f t="shared" si="7"/>
        <v>0</v>
      </c>
      <c r="J71" s="12">
        <f>12064.1168736*E71*F71</f>
        <v>12064.1168736</v>
      </c>
      <c r="K71" s="12">
        <f>5549.6912082486*E71*F71</f>
        <v>5549.6912082486</v>
      </c>
      <c r="L71" s="12">
        <f t="shared" si="8"/>
        <v>0</v>
      </c>
      <c r="M71" s="29">
        <f t="shared" si="4"/>
        <v>372.622123982406</v>
      </c>
      <c r="N71" s="14">
        <f t="shared" si="9"/>
        <v>37262.2123982406</v>
      </c>
    </row>
    <row r="72" spans="2:14" ht="40.5" customHeight="1" thickBot="1" thickTop="1">
      <c r="B72" s="7">
        <v>68</v>
      </c>
      <c r="C72" s="5" t="s">
        <v>116</v>
      </c>
      <c r="D72" s="5" t="s">
        <v>115</v>
      </c>
      <c r="E72" s="9">
        <v>1</v>
      </c>
      <c r="F72" s="9">
        <v>1</v>
      </c>
      <c r="G72" s="12">
        <f>17116.37664*E72*F72</f>
        <v>17116.37664</v>
      </c>
      <c r="H72" s="12">
        <f>9839.8944162*E72*F72</f>
        <v>9839.8944162</v>
      </c>
      <c r="I72" s="12">
        <f t="shared" si="7"/>
        <v>0</v>
      </c>
      <c r="J72" s="12">
        <f>17150.60939328*E72*F72</f>
        <v>17150.60939328</v>
      </c>
      <c r="K72" s="12">
        <f>7718.704078659*E72*F72</f>
        <v>7718.704078659</v>
      </c>
      <c r="L72" s="12">
        <f t="shared" si="8"/>
        <v>0</v>
      </c>
      <c r="M72" s="29">
        <f t="shared" si="4"/>
        <v>518.25584528139</v>
      </c>
      <c r="N72" s="14">
        <f t="shared" si="9"/>
        <v>51825.584528139</v>
      </c>
    </row>
    <row r="73" spans="2:14" ht="40.5" customHeight="1" thickBot="1" thickTop="1">
      <c r="B73" s="7">
        <v>69</v>
      </c>
      <c r="C73" s="5" t="s">
        <v>117</v>
      </c>
      <c r="D73" s="5" t="s">
        <v>118</v>
      </c>
      <c r="E73" s="9">
        <v>1</v>
      </c>
      <c r="F73" s="9">
        <v>1</v>
      </c>
      <c r="G73" s="12">
        <f>990.86328*E73*F73</f>
        <v>990.86328</v>
      </c>
      <c r="H73" s="12">
        <f>231.831350352*E73*F73</f>
        <v>231.831350352</v>
      </c>
      <c r="I73" s="12">
        <f t="shared" si="7"/>
        <v>0</v>
      </c>
      <c r="J73" s="12">
        <f>992.84500656*E73*F73</f>
        <v>992.84500656</v>
      </c>
      <c r="K73" s="12">
        <f>387.7194364596*E73*F73</f>
        <v>387.7194364596</v>
      </c>
      <c r="L73" s="12">
        <f t="shared" si="8"/>
        <v>0</v>
      </c>
      <c r="M73" s="29">
        <f>N73/F73/E73/10</f>
        <v>260.32590733715995</v>
      </c>
      <c r="N73" s="14">
        <f t="shared" si="9"/>
        <v>2603.2590733715997</v>
      </c>
    </row>
    <row r="74" spans="2:14" ht="40.5" customHeight="1" thickBot="1" thickTop="1">
      <c r="B74" s="7">
        <v>70</v>
      </c>
      <c r="C74" s="5" t="s">
        <v>119</v>
      </c>
      <c r="D74" s="5" t="s">
        <v>118</v>
      </c>
      <c r="E74" s="9">
        <v>1</v>
      </c>
      <c r="F74" s="9">
        <v>1</v>
      </c>
      <c r="G74" s="12">
        <f>917.466*E74*F74</f>
        <v>917.466</v>
      </c>
      <c r="H74" s="12">
        <f>234.15758928*E74*F74</f>
        <v>234.15758928</v>
      </c>
      <c r="I74" s="12">
        <f t="shared" si="7"/>
        <v>0</v>
      </c>
      <c r="J74" s="12">
        <f>919.300932*E74*F74</f>
        <v>919.300932</v>
      </c>
      <c r="K74" s="12">
        <f>362.411791224*E74*F74</f>
        <v>362.411791224</v>
      </c>
      <c r="L74" s="12">
        <f t="shared" si="8"/>
        <v>0</v>
      </c>
      <c r="M74" s="29">
        <f>N74/F74/E74/10</f>
        <v>243.3336312504</v>
      </c>
      <c r="N74" s="14">
        <f t="shared" si="9"/>
        <v>2433.336312504</v>
      </c>
    </row>
    <row r="75" spans="2:14" ht="40.5" customHeight="1" thickBot="1" thickTop="1">
      <c r="B75" s="7">
        <v>71</v>
      </c>
      <c r="C75" s="5" t="s">
        <v>120</v>
      </c>
      <c r="D75" s="5" t="s">
        <v>121</v>
      </c>
      <c r="E75" s="9">
        <v>1</v>
      </c>
      <c r="F75" s="9">
        <v>1</v>
      </c>
      <c r="G75" s="12">
        <f>29.286576*E75*F75</f>
        <v>29.286576</v>
      </c>
      <c r="H75" s="12">
        <f>52.032956652*E75*F75</f>
        <v>52.032956652</v>
      </c>
      <c r="I75" s="12">
        <f t="shared" si="7"/>
        <v>0</v>
      </c>
      <c r="J75" s="12">
        <f>29.345149152*E75*F75</f>
        <v>29.345149152</v>
      </c>
      <c r="K75" s="12">
        <f>19.3663193157*E75*F75</f>
        <v>19.3663193157</v>
      </c>
      <c r="L75" s="12">
        <f t="shared" si="8"/>
        <v>0</v>
      </c>
      <c r="M75" s="29">
        <f>N75/F75/E75</f>
        <v>130.03100111970002</v>
      </c>
      <c r="N75" s="14">
        <f t="shared" si="9"/>
        <v>130.03100111970002</v>
      </c>
    </row>
    <row r="76" spans="2:14" ht="40.5" customHeight="1" thickBot="1" thickTop="1">
      <c r="B76" s="7">
        <v>72</v>
      </c>
      <c r="C76" s="5" t="s">
        <v>122</v>
      </c>
      <c r="D76" s="5" t="s">
        <v>121</v>
      </c>
      <c r="E76" s="9">
        <v>1</v>
      </c>
      <c r="F76" s="9">
        <v>1</v>
      </c>
      <c r="G76" s="12">
        <f>9.762192*E76*F76</f>
        <v>9.762192</v>
      </c>
      <c r="H76" s="12">
        <f>0.691542252*E76*F76</f>
        <v>0.691542252</v>
      </c>
      <c r="I76" s="12">
        <f t="shared" si="7"/>
        <v>0</v>
      </c>
      <c r="J76" s="12">
        <f>9.781716384*E76*F76</f>
        <v>9.781716384</v>
      </c>
      <c r="K76" s="12">
        <f>3.5412038613*E76*F76</f>
        <v>3.5412038613</v>
      </c>
      <c r="L76" s="12">
        <f t="shared" si="8"/>
        <v>0</v>
      </c>
      <c r="M76" s="29">
        <f>N76/F76/E76</f>
        <v>23.7766544973</v>
      </c>
      <c r="N76" s="14">
        <f t="shared" si="9"/>
        <v>23.7766544973</v>
      </c>
    </row>
    <row r="77" spans="2:14" ht="40.5" customHeight="1" thickBot="1" thickTop="1">
      <c r="B77" s="7">
        <v>73</v>
      </c>
      <c r="C77" s="5" t="s">
        <v>123</v>
      </c>
      <c r="D77" s="5" t="s">
        <v>124</v>
      </c>
      <c r="E77" s="9">
        <v>1</v>
      </c>
      <c r="F77" s="9">
        <v>1</v>
      </c>
      <c r="G77" s="12">
        <f>86.241804*E77*F77</f>
        <v>86.241804</v>
      </c>
      <c r="H77" s="12">
        <f>111.942038124*E77*F77</f>
        <v>111.942038124</v>
      </c>
      <c r="I77" s="12">
        <f t="shared" si="7"/>
        <v>0</v>
      </c>
      <c r="J77" s="12">
        <f>86.414287608*E77*F77</f>
        <v>86.414287608</v>
      </c>
      <c r="K77" s="12">
        <f>49.8046727031*E77*F77</f>
        <v>49.8046727031</v>
      </c>
      <c r="L77" s="12">
        <f t="shared" si="8"/>
        <v>0</v>
      </c>
      <c r="M77" s="29">
        <f>N77/F77/E77</f>
        <v>334.4028024351</v>
      </c>
      <c r="N77" s="14">
        <f t="shared" si="9"/>
        <v>334.4028024351</v>
      </c>
    </row>
    <row r="78" spans="2:14" ht="40.5" customHeight="1" thickBot="1" thickTop="1">
      <c r="B78" s="7">
        <v>74</v>
      </c>
      <c r="C78" s="5" t="s">
        <v>125</v>
      </c>
      <c r="D78" s="5" t="s">
        <v>126</v>
      </c>
      <c r="E78" s="9">
        <v>1</v>
      </c>
      <c r="F78" s="9">
        <v>1</v>
      </c>
      <c r="G78" s="12">
        <f>24.40548*E78*F78</f>
        <v>24.40548</v>
      </c>
      <c r="H78" s="12">
        <f>106.649356248*E78*F78</f>
        <v>106.649356248</v>
      </c>
      <c r="I78" s="12">
        <f t="shared" si="7"/>
        <v>0</v>
      </c>
      <c r="J78" s="12">
        <f>24.45429096*E78*F78</f>
        <v>24.45429096</v>
      </c>
      <c r="K78" s="12">
        <f>27.2140972614*E78*F78</f>
        <v>27.2140972614</v>
      </c>
      <c r="L78" s="12">
        <f t="shared" si="8"/>
        <v>0</v>
      </c>
      <c r="M78" s="29">
        <f>N78/F78/E78</f>
        <v>182.7232244694</v>
      </c>
      <c r="N78" s="14">
        <f t="shared" si="9"/>
        <v>182.7232244694</v>
      </c>
    </row>
    <row r="79" spans="2:14" ht="40.5" customHeight="1" thickBot="1" thickTop="1">
      <c r="B79" s="7">
        <v>75</v>
      </c>
      <c r="C79" s="5" t="s">
        <v>127</v>
      </c>
      <c r="D79" s="5" t="s">
        <v>128</v>
      </c>
      <c r="E79" s="9">
        <v>1</v>
      </c>
      <c r="F79" s="9">
        <v>1</v>
      </c>
      <c r="G79" s="12">
        <f>9313.131168*E79*F79</f>
        <v>9313.131168</v>
      </c>
      <c r="H79" s="12">
        <f>7558.51525344*E79*F79</f>
        <v>7558.51525344</v>
      </c>
      <c r="I79" s="12">
        <f t="shared" si="7"/>
        <v>0</v>
      </c>
      <c r="J79" s="12">
        <f>9331.757430336*E79*F79</f>
        <v>9331.757430336</v>
      </c>
      <c r="K79" s="12">
        <f>4585.5956740608*E79*F79</f>
        <v>4585.5956740608</v>
      </c>
      <c r="L79" s="12">
        <f t="shared" si="8"/>
        <v>0</v>
      </c>
      <c r="M79" s="29">
        <f aca="true" t="shared" si="10" ref="M79:M84">N79/F79/E79/100</f>
        <v>307.889995258368</v>
      </c>
      <c r="N79" s="14">
        <f t="shared" si="9"/>
        <v>30788.9995258368</v>
      </c>
    </row>
    <row r="80" spans="2:14" ht="40.5" customHeight="1" thickBot="1" thickTop="1">
      <c r="B80" s="7">
        <v>76</v>
      </c>
      <c r="C80" s="5" t="s">
        <v>129</v>
      </c>
      <c r="D80" s="5" t="s">
        <v>130</v>
      </c>
      <c r="E80" s="9">
        <v>1</v>
      </c>
      <c r="F80" s="9">
        <v>1</v>
      </c>
      <c r="G80" s="12">
        <f>17376.70176*E80*F80</f>
        <v>17376.70176</v>
      </c>
      <c r="H80" s="12">
        <f>60407.47850688*E80*F80</f>
        <v>60407.47850688</v>
      </c>
      <c r="I80" s="12">
        <f t="shared" si="7"/>
        <v>0</v>
      </c>
      <c r="J80" s="12">
        <f>17411.45516352*E80*F80</f>
        <v>17411.45516352</v>
      </c>
      <c r="K80" s="12">
        <f>16659.23620032*E80*F80</f>
        <v>16659.23620032</v>
      </c>
      <c r="L80" s="12">
        <f t="shared" si="8"/>
        <v>0</v>
      </c>
      <c r="M80" s="29">
        <f t="shared" si="10"/>
        <v>1118.5487163072</v>
      </c>
      <c r="N80" s="14">
        <f t="shared" si="9"/>
        <v>111854.87163072</v>
      </c>
    </row>
    <row r="81" spans="2:14" ht="40.5" customHeight="1" thickBot="1" thickTop="1">
      <c r="B81" s="7">
        <v>77</v>
      </c>
      <c r="C81" s="5" t="s">
        <v>131</v>
      </c>
      <c r="D81" s="5" t="s">
        <v>130</v>
      </c>
      <c r="E81" s="9">
        <v>1</v>
      </c>
      <c r="F81" s="9">
        <v>1</v>
      </c>
      <c r="G81" s="12">
        <f>11909.87424*E81*F81</f>
        <v>11909.87424</v>
      </c>
      <c r="H81" s="12">
        <f>52005.4397856*E81*F81</f>
        <v>52005.4397856</v>
      </c>
      <c r="I81" s="12">
        <f t="shared" si="7"/>
        <v>0</v>
      </c>
      <c r="J81" s="12">
        <f>11933.69398848*E81*F81</f>
        <v>11933.69398848</v>
      </c>
      <c r="K81" s="12">
        <f>13273.576402464*E81*F81</f>
        <v>13273.576402464</v>
      </c>
      <c r="L81" s="12">
        <f t="shared" si="8"/>
        <v>0</v>
      </c>
      <c r="M81" s="29">
        <f t="shared" si="10"/>
        <v>891.2258441654399</v>
      </c>
      <c r="N81" s="14">
        <f t="shared" si="9"/>
        <v>89122.58441654399</v>
      </c>
    </row>
    <row r="82" spans="2:14" ht="40.5" customHeight="1" thickBot="1" thickTop="1">
      <c r="B82" s="7">
        <v>78</v>
      </c>
      <c r="C82" s="5" t="s">
        <v>132</v>
      </c>
      <c r="D82" s="5" t="s">
        <v>56</v>
      </c>
      <c r="E82" s="9">
        <v>1</v>
      </c>
      <c r="F82" s="9">
        <v>1</v>
      </c>
      <c r="G82" s="12">
        <f>47462.976*E82*F82</f>
        <v>47462.976</v>
      </c>
      <c r="H82" s="12">
        <f>141903.95989824*E82*F82</f>
        <v>141903.95989824</v>
      </c>
      <c r="I82" s="12">
        <f>14.378208*E82*F82</f>
        <v>14.378208</v>
      </c>
      <c r="J82" s="12">
        <f>47557.901952*E82*F82</f>
        <v>47557.901952</v>
      </c>
      <c r="K82" s="12">
        <f>41464.362810192*E82*F82</f>
        <v>41464.362810192</v>
      </c>
      <c r="L82" s="12">
        <f t="shared" si="8"/>
        <v>0</v>
      </c>
      <c r="M82" s="29">
        <f t="shared" si="10"/>
        <v>2784.03578868432</v>
      </c>
      <c r="N82" s="14">
        <f t="shared" si="9"/>
        <v>278403.57886843197</v>
      </c>
    </row>
    <row r="83" spans="2:14" ht="40.5" customHeight="1" thickBot="1" thickTop="1">
      <c r="B83" s="7">
        <v>79</v>
      </c>
      <c r="C83" s="5" t="s">
        <v>133</v>
      </c>
      <c r="D83" s="5" t="s">
        <v>56</v>
      </c>
      <c r="E83" s="9">
        <v>1</v>
      </c>
      <c r="F83" s="9">
        <v>1</v>
      </c>
      <c r="G83" s="12">
        <f>8254.2306*E83*F83</f>
        <v>8254.2306</v>
      </c>
      <c r="H83" s="12">
        <f>4779.4492208448*E83*F83</f>
        <v>4779.4492208448</v>
      </c>
      <c r="I83" s="12">
        <f>0*E83*F83</f>
        <v>0</v>
      </c>
      <c r="J83" s="12">
        <f>8270.7390612*E83*F83</f>
        <v>8270.7390612</v>
      </c>
      <c r="K83" s="12">
        <f>3728.2733043578*E83*F83</f>
        <v>3728.2733043578</v>
      </c>
      <c r="L83" s="12">
        <f t="shared" si="8"/>
        <v>0</v>
      </c>
      <c r="M83" s="29">
        <f t="shared" si="10"/>
        <v>250.32692186402605</v>
      </c>
      <c r="N83" s="14">
        <f t="shared" si="9"/>
        <v>25032.692186402604</v>
      </c>
    </row>
    <row r="84" spans="2:14" ht="40.5" customHeight="1" thickBot="1" thickTop="1">
      <c r="B84" s="7">
        <v>80</v>
      </c>
      <c r="C84" s="5" t="s">
        <v>134</v>
      </c>
      <c r="D84" s="5" t="s">
        <v>56</v>
      </c>
      <c r="E84" s="9">
        <v>1</v>
      </c>
      <c r="F84" s="9">
        <v>1</v>
      </c>
      <c r="G84" s="12">
        <f>11629.464*E84*F84</f>
        <v>11629.464</v>
      </c>
      <c r="H84" s="12">
        <f>2774.05468308*E84*F84</f>
        <v>2774.05468308</v>
      </c>
      <c r="I84" s="12">
        <f>0*E84*F84</f>
        <v>0</v>
      </c>
      <c r="J84" s="12">
        <f>11652.722928*E84*F84</f>
        <v>11652.722928</v>
      </c>
      <c r="K84" s="12">
        <f>4559.842281939*E84*F84</f>
        <v>4559.842281939</v>
      </c>
      <c r="L84" s="12">
        <f t="shared" si="8"/>
        <v>0</v>
      </c>
      <c r="M84" s="29">
        <f t="shared" si="10"/>
        <v>306.16083893019</v>
      </c>
      <c r="N84" s="14">
        <f t="shared" si="9"/>
        <v>30616.083893018997</v>
      </c>
    </row>
    <row r="85" spans="2:14" ht="40.5" customHeight="1" thickBot="1" thickTop="1">
      <c r="B85" s="7">
        <v>81</v>
      </c>
      <c r="C85" s="5" t="s">
        <v>135</v>
      </c>
      <c r="D85" s="5" t="s">
        <v>136</v>
      </c>
      <c r="E85" s="9">
        <v>1</v>
      </c>
      <c r="F85" s="9">
        <v>1</v>
      </c>
      <c r="G85" s="12">
        <f>210.029094*E85*F85</f>
        <v>210.029094</v>
      </c>
      <c r="H85" s="12">
        <f>1917.8113347792*E85*F85</f>
        <v>1917.8113347792</v>
      </c>
      <c r="I85" s="12">
        <f>9.349392*E85*F85</f>
        <v>9.349392</v>
      </c>
      <c r="J85" s="12">
        <f>210.449152188*E85*F85</f>
        <v>210.449152188</v>
      </c>
      <c r="K85" s="12">
        <f>410.83682026926*E85*F85</f>
        <v>410.83682026926</v>
      </c>
      <c r="L85" s="12">
        <f t="shared" si="8"/>
        <v>0</v>
      </c>
      <c r="M85" s="29">
        <f>N85/F85/E85</f>
        <v>2758.47579323646</v>
      </c>
      <c r="N85" s="14">
        <f t="shared" si="9"/>
        <v>2758.47579323646</v>
      </c>
    </row>
    <row r="86" spans="2:14" ht="40.5" customHeight="1" thickBot="1" thickTop="1">
      <c r="B86" s="7">
        <v>82</v>
      </c>
      <c r="C86" s="5" t="s">
        <v>137</v>
      </c>
      <c r="D86" s="5" t="s">
        <v>138</v>
      </c>
      <c r="E86" s="9">
        <v>1</v>
      </c>
      <c r="F86" s="9">
        <v>1</v>
      </c>
      <c r="G86" s="12">
        <f>382.0996608*E86*F86</f>
        <v>382.0996608</v>
      </c>
      <c r="H86" s="12">
        <f>1587.5658700704*E86*F86</f>
        <v>1587.5658700704</v>
      </c>
      <c r="I86" s="12">
        <f aca="true" t="shared" si="11" ref="I86:I98">0*E86*F86</f>
        <v>0</v>
      </c>
      <c r="J86" s="12">
        <f>382.8638601216*E86*F86</f>
        <v>382.8638601216</v>
      </c>
      <c r="K86" s="12">
        <f>411.6926434236*E86*F86</f>
        <v>411.6926434236</v>
      </c>
      <c r="L86" s="12">
        <f t="shared" si="8"/>
        <v>0</v>
      </c>
      <c r="M86" s="29">
        <f>N86/F86/E86</f>
        <v>2764.2220344156003</v>
      </c>
      <c r="N86" s="14">
        <f t="shared" si="9"/>
        <v>2764.2220344156003</v>
      </c>
    </row>
    <row r="87" spans="2:14" ht="40.5" customHeight="1" thickBot="1" thickTop="1">
      <c r="B87" s="7">
        <v>83</v>
      </c>
      <c r="C87" s="5" t="s">
        <v>139</v>
      </c>
      <c r="D87" s="5" t="s">
        <v>140</v>
      </c>
      <c r="E87" s="9">
        <v>1</v>
      </c>
      <c r="F87" s="9">
        <v>1</v>
      </c>
      <c r="G87" s="12">
        <f>1480.59912*E87*F87</f>
        <v>1480.59912</v>
      </c>
      <c r="H87" s="12">
        <f>191.257347672*E87*F87</f>
        <v>191.257347672</v>
      </c>
      <c r="I87" s="12">
        <f t="shared" si="11"/>
        <v>0</v>
      </c>
      <c r="J87" s="12">
        <f>1483.56031824*E87*F87</f>
        <v>1483.56031824</v>
      </c>
      <c r="K87" s="12">
        <f>552.1979375346*E87*F87</f>
        <v>552.1979375346</v>
      </c>
      <c r="L87" s="12">
        <f t="shared" si="8"/>
        <v>0</v>
      </c>
      <c r="M87" s="29">
        <f>N87/F87/E87/10</f>
        <v>370.76147234466</v>
      </c>
      <c r="N87" s="14">
        <f t="shared" si="9"/>
        <v>3707.6147234466</v>
      </c>
    </row>
    <row r="88" spans="2:14" ht="40.5" customHeight="1" thickBot="1" thickTop="1">
      <c r="B88" s="7">
        <v>84</v>
      </c>
      <c r="C88" s="5" t="s">
        <v>141</v>
      </c>
      <c r="D88" s="5" t="s">
        <v>140</v>
      </c>
      <c r="E88" s="9">
        <v>1</v>
      </c>
      <c r="F88" s="9">
        <v>1</v>
      </c>
      <c r="G88" s="12">
        <f>1643.30232*E88*F88</f>
        <v>1643.30232</v>
      </c>
      <c r="H88" s="12">
        <f>191.257347672*E88*F88</f>
        <v>191.257347672</v>
      </c>
      <c r="I88" s="12">
        <f t="shared" si="11"/>
        <v>0</v>
      </c>
      <c r="J88" s="12">
        <f>1646.58892464*E88*F88</f>
        <v>1646.58892464</v>
      </c>
      <c r="K88" s="12">
        <f>609.2010036546*E88*F88</f>
        <v>609.2010036546</v>
      </c>
      <c r="L88" s="12">
        <f t="shared" si="8"/>
        <v>0</v>
      </c>
      <c r="M88" s="29">
        <f>N88/F88/E88/10</f>
        <v>409.03495959666</v>
      </c>
      <c r="N88" s="14">
        <f t="shared" si="9"/>
        <v>4090.3495959665997</v>
      </c>
    </row>
    <row r="89" spans="2:14" ht="40.5" customHeight="1" thickBot="1" thickTop="1">
      <c r="B89" s="7">
        <v>85</v>
      </c>
      <c r="C89" s="5" t="s">
        <v>142</v>
      </c>
      <c r="D89" s="5" t="s">
        <v>143</v>
      </c>
      <c r="E89" s="9">
        <v>1</v>
      </c>
      <c r="F89" s="9">
        <v>1</v>
      </c>
      <c r="G89" s="12">
        <f>1627.032*E89*F89</f>
        <v>1627.032</v>
      </c>
      <c r="H89" s="12">
        <f>164.5056*E89*F89</f>
        <v>164.5056</v>
      </c>
      <c r="I89" s="12">
        <f t="shared" si="11"/>
        <v>0</v>
      </c>
      <c r="J89" s="12">
        <f>1630.286064*E89*F89</f>
        <v>1630.286064</v>
      </c>
      <c r="K89" s="12">
        <f>598.8191412*E89*F89</f>
        <v>598.8191412</v>
      </c>
      <c r="L89" s="12">
        <f t="shared" si="8"/>
        <v>0</v>
      </c>
      <c r="M89" s="29">
        <f>N89/F89/E89/10</f>
        <v>402.06428051999995</v>
      </c>
      <c r="N89" s="14">
        <f t="shared" si="9"/>
        <v>4020.6428051999997</v>
      </c>
    </row>
    <row r="90" spans="2:14" ht="40.5" customHeight="1" thickBot="1" thickTop="1">
      <c r="B90" s="7">
        <v>86</v>
      </c>
      <c r="C90" s="5" t="s">
        <v>144</v>
      </c>
      <c r="D90" s="5" t="s">
        <v>145</v>
      </c>
      <c r="E90" s="9">
        <v>1</v>
      </c>
      <c r="F90" s="9">
        <v>1</v>
      </c>
      <c r="G90" s="12">
        <f>81.3516*E90*F90</f>
        <v>81.3516</v>
      </c>
      <c r="H90" s="12">
        <f>21.22059816*E90*F90</f>
        <v>21.22059816</v>
      </c>
      <c r="I90" s="12">
        <f t="shared" si="11"/>
        <v>0</v>
      </c>
      <c r="J90" s="12">
        <f>81.5143032*E90*F90</f>
        <v>81.5143032</v>
      </c>
      <c r="K90" s="12">
        <f>32.215137738*E90*F90</f>
        <v>32.215137738</v>
      </c>
      <c r="L90" s="12">
        <f t="shared" si="8"/>
        <v>0</v>
      </c>
      <c r="M90" s="29">
        <f>N90/F90/E90</f>
        <v>216.301639098</v>
      </c>
      <c r="N90" s="14">
        <f t="shared" si="9"/>
        <v>216.301639098</v>
      </c>
    </row>
    <row r="91" spans="2:14" ht="40.5" customHeight="1" thickBot="1" thickTop="1">
      <c r="B91" s="7">
        <v>87</v>
      </c>
      <c r="C91" s="5" t="s">
        <v>146</v>
      </c>
      <c r="D91" s="5" t="s">
        <v>118</v>
      </c>
      <c r="E91" s="9">
        <v>1</v>
      </c>
      <c r="F91" s="9">
        <v>1</v>
      </c>
      <c r="G91" s="12">
        <f>807.37008*E91*F91</f>
        <v>807.37008</v>
      </c>
      <c r="H91" s="12">
        <f>246.641750352*E91*F91</f>
        <v>246.641750352</v>
      </c>
      <c r="I91" s="12">
        <f t="shared" si="11"/>
        <v>0</v>
      </c>
      <c r="J91" s="12">
        <f>808.98482016*E91*F91</f>
        <v>808.98482016</v>
      </c>
      <c r="K91" s="12">
        <f>326.0244138396*E91*F91</f>
        <v>326.0244138396</v>
      </c>
      <c r="L91" s="12">
        <f t="shared" si="8"/>
        <v>0</v>
      </c>
      <c r="M91" s="29">
        <f>N91/F91/E91/10</f>
        <v>218.90210643516002</v>
      </c>
      <c r="N91" s="14">
        <f t="shared" si="9"/>
        <v>2189.0210643516</v>
      </c>
    </row>
    <row r="92" spans="2:14" ht="40.5" customHeight="1" thickBot="1" thickTop="1">
      <c r="B92" s="7">
        <v>88</v>
      </c>
      <c r="C92" s="5" t="s">
        <v>147</v>
      </c>
      <c r="D92" s="5" t="s">
        <v>118</v>
      </c>
      <c r="E92" s="9">
        <v>1</v>
      </c>
      <c r="F92" s="9">
        <v>1</v>
      </c>
      <c r="G92" s="12">
        <f>715.62348*E92*F92</f>
        <v>715.62348</v>
      </c>
      <c r="H92" s="12">
        <f>246.641750352*E92*F92</f>
        <v>246.641750352</v>
      </c>
      <c r="I92" s="12">
        <f t="shared" si="11"/>
        <v>0</v>
      </c>
      <c r="J92" s="12">
        <f>717.05472696*E92*F92</f>
        <v>717.05472696</v>
      </c>
      <c r="K92" s="12">
        <f>293.8809925296*E92*F92</f>
        <v>293.8809925296</v>
      </c>
      <c r="L92" s="12">
        <f t="shared" si="8"/>
        <v>0</v>
      </c>
      <c r="M92" s="29">
        <f>N92/F92/E92/10</f>
        <v>197.32009498416</v>
      </c>
      <c r="N92" s="14">
        <f t="shared" si="9"/>
        <v>1973.2009498416</v>
      </c>
    </row>
    <row r="93" spans="2:14" ht="40.5" customHeight="1" thickBot="1" thickTop="1">
      <c r="B93" s="7">
        <v>89</v>
      </c>
      <c r="C93" s="5" t="s">
        <v>148</v>
      </c>
      <c r="D93" s="5" t="s">
        <v>121</v>
      </c>
      <c r="E93" s="9">
        <v>1</v>
      </c>
      <c r="F93" s="9">
        <v>1</v>
      </c>
      <c r="G93" s="12">
        <f>9.762192*E93*F93</f>
        <v>9.762192</v>
      </c>
      <c r="H93" s="12">
        <f>0.691542252*E93*F93</f>
        <v>0.691542252</v>
      </c>
      <c r="I93" s="12">
        <f t="shared" si="11"/>
        <v>0</v>
      </c>
      <c r="J93" s="12">
        <f>9.781716384*E93*F93</f>
        <v>9.781716384</v>
      </c>
      <c r="K93" s="12">
        <f>3.5412038613*E93*F93</f>
        <v>3.5412038613</v>
      </c>
      <c r="L93" s="12">
        <f t="shared" si="8"/>
        <v>0</v>
      </c>
      <c r="M93" s="29">
        <f>N93/F93/E93</f>
        <v>23.7766544973</v>
      </c>
      <c r="N93" s="14">
        <f t="shared" si="9"/>
        <v>23.7766544973</v>
      </c>
    </row>
    <row r="94" spans="2:14" ht="40.5" customHeight="1" thickBot="1" thickTop="1">
      <c r="B94" s="7">
        <v>90</v>
      </c>
      <c r="C94" s="5" t="s">
        <v>149</v>
      </c>
      <c r="D94" s="5" t="s">
        <v>150</v>
      </c>
      <c r="E94" s="9">
        <v>1</v>
      </c>
      <c r="F94" s="9">
        <v>1</v>
      </c>
      <c r="G94" s="12">
        <f>535.59792*E94*F94</f>
        <v>535.59792</v>
      </c>
      <c r="H94" s="12">
        <f>2967.180226236*E94*F94</f>
        <v>2967.180226236</v>
      </c>
      <c r="I94" s="12">
        <f t="shared" si="11"/>
        <v>0</v>
      </c>
      <c r="J94" s="12">
        <f>536.66911584*E94*F94</f>
        <v>536.66911584</v>
      </c>
      <c r="K94" s="12">
        <f>706.9032708633*E94*F94</f>
        <v>706.9032708633</v>
      </c>
      <c r="L94" s="12">
        <f t="shared" si="8"/>
        <v>0</v>
      </c>
      <c r="M94" s="29">
        <f>N94/F94/E94/10</f>
        <v>474.63505329393</v>
      </c>
      <c r="N94" s="14">
        <f t="shared" si="9"/>
        <v>4746.3505329393</v>
      </c>
    </row>
    <row r="95" spans="2:14" ht="40.5" customHeight="1" thickBot="1" thickTop="1">
      <c r="B95" s="7">
        <v>91</v>
      </c>
      <c r="C95" s="5" t="s">
        <v>151</v>
      </c>
      <c r="D95" s="5" t="s">
        <v>152</v>
      </c>
      <c r="E95" s="9">
        <v>1</v>
      </c>
      <c r="F95" s="9">
        <v>1</v>
      </c>
      <c r="G95" s="12">
        <f>2440.548*E95*F95</f>
        <v>2440.548</v>
      </c>
      <c r="H95" s="12">
        <f>9897.27677856*E95*F95</f>
        <v>9897.27677856</v>
      </c>
      <c r="I95" s="12">
        <f t="shared" si="11"/>
        <v>0</v>
      </c>
      <c r="J95" s="12">
        <f>2445.429096*E95*F95</f>
        <v>2445.429096</v>
      </c>
      <c r="K95" s="12">
        <f>2587.069428048*E95*F95</f>
        <v>2587.069428048</v>
      </c>
      <c r="L95" s="12">
        <f t="shared" si="8"/>
        <v>0</v>
      </c>
      <c r="M95" s="29">
        <f aca="true" t="shared" si="12" ref="M95:M100">N95/F95/E95/100</f>
        <v>173.70323302607997</v>
      </c>
      <c r="N95" s="14">
        <f t="shared" si="9"/>
        <v>17370.323302607998</v>
      </c>
    </row>
    <row r="96" spans="2:14" ht="40.5" customHeight="1" thickBot="1" thickTop="1">
      <c r="B96" s="7">
        <v>92</v>
      </c>
      <c r="C96" s="5" t="s">
        <v>153</v>
      </c>
      <c r="D96" s="5" t="s">
        <v>154</v>
      </c>
      <c r="E96" s="9">
        <v>1</v>
      </c>
      <c r="F96" s="9">
        <v>1</v>
      </c>
      <c r="G96" s="12">
        <f>6306.376032*E96*F96</f>
        <v>6306.376032</v>
      </c>
      <c r="H96" s="12">
        <f>4404.0797856*E96*F96</f>
        <v>4404.0797856</v>
      </c>
      <c r="I96" s="12">
        <f t="shared" si="11"/>
        <v>0</v>
      </c>
      <c r="J96" s="12">
        <f>6318.988784064*E96*F96</f>
        <v>6318.988784064</v>
      </c>
      <c r="K96" s="12">
        <f>2980.1528052912*E96*F96</f>
        <v>2980.1528052912</v>
      </c>
      <c r="L96" s="12">
        <f t="shared" si="8"/>
        <v>0</v>
      </c>
      <c r="M96" s="29">
        <f t="shared" si="12"/>
        <v>200.095974069552</v>
      </c>
      <c r="N96" s="14">
        <f t="shared" si="9"/>
        <v>20009.5974069552</v>
      </c>
    </row>
    <row r="97" spans="2:14" ht="40.5" customHeight="1" thickBot="1" thickTop="1">
      <c r="B97" s="7">
        <v>93</v>
      </c>
      <c r="C97" s="5" t="s">
        <v>155</v>
      </c>
      <c r="D97" s="5" t="s">
        <v>56</v>
      </c>
      <c r="E97" s="9">
        <v>1</v>
      </c>
      <c r="F97" s="9">
        <v>1</v>
      </c>
      <c r="G97" s="12">
        <f>12614.9562*E97*F97</f>
        <v>12614.9562</v>
      </c>
      <c r="H97" s="12">
        <f>2544.711525216*E97*F97</f>
        <v>2544.711525216</v>
      </c>
      <c r="I97" s="12">
        <f t="shared" si="11"/>
        <v>0</v>
      </c>
      <c r="J97" s="12">
        <f>12640.1861124*E97*F97</f>
        <v>12640.1861124</v>
      </c>
      <c r="K97" s="12">
        <f>4864.9744215828*E97*F97</f>
        <v>4864.9744215828</v>
      </c>
      <c r="L97" s="12">
        <f t="shared" si="8"/>
        <v>0</v>
      </c>
      <c r="M97" s="29">
        <f t="shared" si="12"/>
        <v>326.648282591988</v>
      </c>
      <c r="N97" s="14">
        <f t="shared" si="9"/>
        <v>32664.8282591988</v>
      </c>
    </row>
    <row r="98" spans="2:14" ht="40.5" customHeight="1" thickBot="1" thickTop="1">
      <c r="B98" s="7">
        <v>94</v>
      </c>
      <c r="C98" s="5" t="s">
        <v>156</v>
      </c>
      <c r="D98" s="5" t="s">
        <v>56</v>
      </c>
      <c r="E98" s="9">
        <v>1</v>
      </c>
      <c r="F98" s="9">
        <v>1</v>
      </c>
      <c r="G98" s="12">
        <f>16447.3848*E98*F98</f>
        <v>16447.3848</v>
      </c>
      <c r="H98" s="12">
        <f>3853.951365024*E98*F98</f>
        <v>3853.951365024</v>
      </c>
      <c r="I98" s="12">
        <f t="shared" si="11"/>
        <v>0</v>
      </c>
      <c r="J98" s="12">
        <f>16480.2795696*E98*F98</f>
        <v>16480.2795696</v>
      </c>
      <c r="K98" s="12">
        <f>6436.7827535592*E98*F98</f>
        <v>6436.7827535592</v>
      </c>
      <c r="L98" s="12">
        <f t="shared" si="8"/>
        <v>0</v>
      </c>
      <c r="M98" s="29">
        <f t="shared" si="12"/>
        <v>432.183984881832</v>
      </c>
      <c r="N98" s="14">
        <f t="shared" si="9"/>
        <v>43218.3984881832</v>
      </c>
    </row>
    <row r="99" spans="2:14" ht="40.5" customHeight="1" thickBot="1" thickTop="1">
      <c r="B99" s="7">
        <v>95</v>
      </c>
      <c r="C99" s="5" t="s">
        <v>157</v>
      </c>
      <c r="D99" s="5" t="s">
        <v>158</v>
      </c>
      <c r="E99" s="9">
        <v>1</v>
      </c>
      <c r="F99" s="9">
        <v>1</v>
      </c>
      <c r="G99" s="12">
        <f>3396.9012*E99*F99</f>
        <v>3396.9012</v>
      </c>
      <c r="H99" s="12">
        <f>30617.80401024*E99*F99</f>
        <v>30617.80401024</v>
      </c>
      <c r="I99" s="12">
        <f>91.06344*E99*F99</f>
        <v>91.06344</v>
      </c>
      <c r="J99" s="12">
        <f>3459.1202316*E99*F99</f>
        <v>3459.1202316</v>
      </c>
      <c r="K99" s="12">
        <f>6573.855554322*E99*F99</f>
        <v>6573.855554322</v>
      </c>
      <c r="L99" s="12">
        <f t="shared" si="8"/>
        <v>0</v>
      </c>
      <c r="M99" s="29">
        <f t="shared" si="12"/>
        <v>441.38744436161994</v>
      </c>
      <c r="N99" s="14">
        <f t="shared" si="9"/>
        <v>44138.74443616199</v>
      </c>
    </row>
    <row r="100" spans="2:14" ht="40.5" customHeight="1" thickBot="1" thickTop="1">
      <c r="B100" s="7">
        <v>96</v>
      </c>
      <c r="C100" s="5" t="s">
        <v>159</v>
      </c>
      <c r="D100" s="5" t="s">
        <v>158</v>
      </c>
      <c r="E100" s="9">
        <v>1</v>
      </c>
      <c r="F100" s="9">
        <v>1</v>
      </c>
      <c r="G100" s="12">
        <f>1933.08192*E100*F100</f>
        <v>1933.08192</v>
      </c>
      <c r="H100" s="12">
        <f>15834.40847352*E100*F100</f>
        <v>15834.40847352</v>
      </c>
      <c r="I100" s="12">
        <f>47.34405*E100*F100</f>
        <v>47.34405</v>
      </c>
      <c r="J100" s="12">
        <f>1965.769203024*E100*F100</f>
        <v>1965.769203024</v>
      </c>
      <c r="K100" s="12">
        <f>3461.6056381452*E100*F100</f>
        <v>3461.6056381452</v>
      </c>
      <c r="L100" s="12">
        <f t="shared" si="8"/>
        <v>0</v>
      </c>
      <c r="M100" s="29">
        <f t="shared" si="12"/>
        <v>232.42209284689199</v>
      </c>
      <c r="N100" s="14">
        <f t="shared" si="9"/>
        <v>23242.209284689197</v>
      </c>
    </row>
    <row r="101" spans="2:14" ht="40.5" customHeight="1" thickBot="1" thickTop="1">
      <c r="B101" s="7">
        <v>97</v>
      </c>
      <c r="C101" s="5" t="s">
        <v>160</v>
      </c>
      <c r="D101" s="5" t="s">
        <v>161</v>
      </c>
      <c r="E101" s="9">
        <v>1</v>
      </c>
      <c r="F101" s="9">
        <v>1</v>
      </c>
      <c r="G101" s="12">
        <f>899.11668*E101*F101</f>
        <v>899.11668</v>
      </c>
      <c r="H101" s="12">
        <f>101.7371066076*E101*F101</f>
        <v>101.7371066076</v>
      </c>
      <c r="I101" s="12">
        <f aca="true" t="shared" si="13" ref="I101:I114">0*E101*F101</f>
        <v>0</v>
      </c>
      <c r="J101" s="12">
        <f>900.91491336*E101*F101</f>
        <v>900.91491336</v>
      </c>
      <c r="K101" s="12">
        <f>332.80952249433*E101*F101</f>
        <v>332.80952249433</v>
      </c>
      <c r="L101" s="12">
        <f aca="true" t="shared" si="14" ref="L101:L130">0*E101*F101</f>
        <v>0</v>
      </c>
      <c r="M101" s="29">
        <f>N101/F101/E101</f>
        <v>2234.57822246193</v>
      </c>
      <c r="N101" s="14">
        <f aca="true" t="shared" si="15" ref="N101:N130">SUM(G101:L101)</f>
        <v>2234.57822246193</v>
      </c>
    </row>
    <row r="102" spans="2:14" ht="40.5" customHeight="1" thickBot="1" thickTop="1">
      <c r="B102" s="7">
        <v>98</v>
      </c>
      <c r="C102" s="5" t="s">
        <v>162</v>
      </c>
      <c r="D102" s="5" t="s">
        <v>163</v>
      </c>
      <c r="E102" s="9">
        <v>1</v>
      </c>
      <c r="F102" s="9">
        <v>1</v>
      </c>
      <c r="G102" s="12">
        <f>908.29134*E102*F102</f>
        <v>908.29134</v>
      </c>
      <c r="H102" s="12">
        <f>1499.8709391408*E102*F102</f>
        <v>1499.8709391408</v>
      </c>
      <c r="I102" s="12">
        <f t="shared" si="13"/>
        <v>0</v>
      </c>
      <c r="J102" s="12">
        <f>910.10792268*E102*F102</f>
        <v>910.10792268</v>
      </c>
      <c r="K102" s="12">
        <f>580.69728531864*E102*F102</f>
        <v>580.69728531864</v>
      </c>
      <c r="L102" s="12">
        <f t="shared" si="14"/>
        <v>0</v>
      </c>
      <c r="M102" s="29">
        <f aca="true" t="shared" si="16" ref="M102:M109">N102/F102/E102</f>
        <v>3898.96748713944</v>
      </c>
      <c r="N102" s="14">
        <f t="shared" si="15"/>
        <v>3898.96748713944</v>
      </c>
    </row>
    <row r="103" spans="2:14" ht="40.5" customHeight="1" thickBot="1" thickTop="1">
      <c r="B103" s="7">
        <v>99</v>
      </c>
      <c r="C103" s="5" t="s">
        <v>164</v>
      </c>
      <c r="D103" s="5" t="s">
        <v>138</v>
      </c>
      <c r="E103" s="9">
        <v>1</v>
      </c>
      <c r="F103" s="9">
        <v>1</v>
      </c>
      <c r="G103" s="12">
        <f>382.0996608*E103*F103</f>
        <v>382.0996608</v>
      </c>
      <c r="H103" s="12">
        <f>1490.4047500704*E103*F103</f>
        <v>1490.4047500704</v>
      </c>
      <c r="I103" s="12">
        <f t="shared" si="13"/>
        <v>0</v>
      </c>
      <c r="J103" s="12">
        <f>382.8638601216*E103*F103</f>
        <v>382.8638601216</v>
      </c>
      <c r="K103" s="12">
        <f>394.6894474236*E103*F103</f>
        <v>394.6894474236</v>
      </c>
      <c r="L103" s="12">
        <f t="shared" si="14"/>
        <v>0</v>
      </c>
      <c r="M103" s="29">
        <f t="shared" si="16"/>
        <v>2650.0577184156</v>
      </c>
      <c r="N103" s="14">
        <f t="shared" si="15"/>
        <v>2650.0577184156</v>
      </c>
    </row>
    <row r="104" spans="2:14" ht="40.5" customHeight="1" thickBot="1" thickTop="1">
      <c r="B104" s="7">
        <v>100</v>
      </c>
      <c r="C104" s="5" t="s">
        <v>165</v>
      </c>
      <c r="D104" s="5" t="s">
        <v>138</v>
      </c>
      <c r="E104" s="9">
        <v>1</v>
      </c>
      <c r="F104" s="9">
        <v>1</v>
      </c>
      <c r="G104" s="12">
        <f>428.632776*E104*F104</f>
        <v>428.632776</v>
      </c>
      <c r="H104" s="12">
        <f>1490.4047500704*E104*F104</f>
        <v>1490.4047500704</v>
      </c>
      <c r="I104" s="12">
        <f t="shared" si="13"/>
        <v>0</v>
      </c>
      <c r="J104" s="12">
        <f>429.490041552*E104*F104</f>
        <v>429.490041552</v>
      </c>
      <c r="K104" s="12">
        <f>410.99232433392*E104*F104</f>
        <v>410.99232433392</v>
      </c>
      <c r="L104" s="12">
        <f t="shared" si="14"/>
        <v>0</v>
      </c>
      <c r="M104" s="29">
        <f t="shared" si="16"/>
        <v>2759.51989195632</v>
      </c>
      <c r="N104" s="14">
        <f t="shared" si="15"/>
        <v>2759.51989195632</v>
      </c>
    </row>
    <row r="105" spans="2:14" ht="40.5" customHeight="1" thickBot="1" thickTop="1">
      <c r="B105" s="7">
        <v>101</v>
      </c>
      <c r="C105" s="5" t="s">
        <v>166</v>
      </c>
      <c r="D105" s="5" t="s">
        <v>138</v>
      </c>
      <c r="E105" s="9">
        <v>1</v>
      </c>
      <c r="F105" s="9">
        <v>1</v>
      </c>
      <c r="G105" s="12">
        <f>361.924464*E105*F105</f>
        <v>361.924464</v>
      </c>
      <c r="H105" s="12">
        <f>1490.4047500704*E105*F105</f>
        <v>1490.4047500704</v>
      </c>
      <c r="I105" s="12">
        <f t="shared" si="13"/>
        <v>0</v>
      </c>
      <c r="J105" s="12">
        <f>362.648312928*E105*F105</f>
        <v>362.648312928</v>
      </c>
      <c r="K105" s="12">
        <f>387.62106722472*E105*F105</f>
        <v>387.62106722472</v>
      </c>
      <c r="L105" s="12">
        <f t="shared" si="14"/>
        <v>0</v>
      </c>
      <c r="M105" s="29">
        <f t="shared" si="16"/>
        <v>2602.59859422312</v>
      </c>
      <c r="N105" s="14">
        <f t="shared" si="15"/>
        <v>2602.59859422312</v>
      </c>
    </row>
    <row r="106" spans="2:14" ht="40.5" customHeight="1" thickBot="1" thickTop="1">
      <c r="B106" s="7">
        <v>102</v>
      </c>
      <c r="C106" s="5" t="s">
        <v>167</v>
      </c>
      <c r="D106" s="5" t="s">
        <v>138</v>
      </c>
      <c r="E106" s="9">
        <v>1</v>
      </c>
      <c r="F106" s="9">
        <v>1</v>
      </c>
      <c r="G106" s="12">
        <f>395.1159168*E106*F106</f>
        <v>395.1159168</v>
      </c>
      <c r="H106" s="12">
        <f>1490.4047500704*E106*F106</f>
        <v>1490.4047500704</v>
      </c>
      <c r="I106" s="12">
        <f t="shared" si="13"/>
        <v>0</v>
      </c>
      <c r="J106" s="12">
        <f>395.9061486336*E106*F106</f>
        <v>395.9061486336</v>
      </c>
      <c r="K106" s="12">
        <f>399.2496927132*E106*F106</f>
        <v>399.2496927132</v>
      </c>
      <c r="L106" s="12">
        <f t="shared" si="14"/>
        <v>0</v>
      </c>
      <c r="M106" s="29">
        <f t="shared" si="16"/>
        <v>2680.6765082172</v>
      </c>
      <c r="N106" s="14">
        <f t="shared" si="15"/>
        <v>2680.6765082172</v>
      </c>
    </row>
    <row r="107" spans="2:14" ht="40.5" customHeight="1" thickBot="1" thickTop="1">
      <c r="B107" s="7">
        <v>103</v>
      </c>
      <c r="C107" s="5" t="s">
        <v>168</v>
      </c>
      <c r="D107" s="5" t="s">
        <v>169</v>
      </c>
      <c r="E107" s="9">
        <v>1</v>
      </c>
      <c r="F107" s="9">
        <v>1</v>
      </c>
      <c r="G107" s="12">
        <f>97.62192*E107*F107</f>
        <v>97.62192</v>
      </c>
      <c r="H107" s="12">
        <f>748.03536*E107*F107</f>
        <v>748.03536</v>
      </c>
      <c r="I107" s="12">
        <f t="shared" si="13"/>
        <v>0</v>
      </c>
      <c r="J107" s="12">
        <f>97.81716384*E107*F107</f>
        <v>97.81716384</v>
      </c>
      <c r="K107" s="12">
        <f>165.108027672*E107*F107</f>
        <v>165.108027672</v>
      </c>
      <c r="L107" s="12">
        <f t="shared" si="14"/>
        <v>0</v>
      </c>
      <c r="M107" s="29">
        <f t="shared" si="16"/>
        <v>1108.582471512</v>
      </c>
      <c r="N107" s="14">
        <f t="shared" si="15"/>
        <v>1108.582471512</v>
      </c>
    </row>
    <row r="108" spans="2:14" ht="40.5" customHeight="1" thickBot="1" thickTop="1">
      <c r="B108" s="7">
        <v>104</v>
      </c>
      <c r="C108" s="5" t="s">
        <v>170</v>
      </c>
      <c r="D108" s="5" t="s">
        <v>169</v>
      </c>
      <c r="E108" s="9">
        <v>1</v>
      </c>
      <c r="F108" s="9">
        <v>1</v>
      </c>
      <c r="G108" s="12">
        <f>107.384112*E108*F108</f>
        <v>107.384112</v>
      </c>
      <c r="H108" s="12">
        <f>748.03536*E108*F108</f>
        <v>748.03536</v>
      </c>
      <c r="I108" s="12">
        <f t="shared" si="13"/>
        <v>0</v>
      </c>
      <c r="J108" s="12">
        <f>107.598880224*E108*F108</f>
        <v>107.598880224</v>
      </c>
      <c r="K108" s="12">
        <f>168.5282116392*E108*F108</f>
        <v>168.5282116392</v>
      </c>
      <c r="L108" s="12">
        <f t="shared" si="14"/>
        <v>0</v>
      </c>
      <c r="M108" s="29">
        <f t="shared" si="16"/>
        <v>1131.5465638632</v>
      </c>
      <c r="N108" s="14">
        <f t="shared" si="15"/>
        <v>1131.5465638632</v>
      </c>
    </row>
    <row r="109" spans="2:14" ht="40.5" customHeight="1" thickBot="1" thickTop="1">
      <c r="B109" s="7">
        <v>105</v>
      </c>
      <c r="C109" s="5" t="s">
        <v>171</v>
      </c>
      <c r="D109" s="5" t="s">
        <v>169</v>
      </c>
      <c r="E109" s="9">
        <v>1</v>
      </c>
      <c r="F109" s="9">
        <v>1</v>
      </c>
      <c r="G109" s="12">
        <f>118.773336*E109*F109</f>
        <v>118.773336</v>
      </c>
      <c r="H109" s="12">
        <f>633.33432*E109*F109</f>
        <v>633.33432</v>
      </c>
      <c r="I109" s="12">
        <f t="shared" si="13"/>
        <v>0</v>
      </c>
      <c r="J109" s="12">
        <f>119.010882672*E109*F109</f>
        <v>119.010882672</v>
      </c>
      <c r="K109" s="12">
        <f>152.4457442676*E109*F109</f>
        <v>152.4457442676</v>
      </c>
      <c r="L109" s="12">
        <f t="shared" si="14"/>
        <v>0</v>
      </c>
      <c r="M109" s="29">
        <f t="shared" si="16"/>
        <v>1023.5642829395999</v>
      </c>
      <c r="N109" s="14">
        <f t="shared" si="15"/>
        <v>1023.5642829395999</v>
      </c>
    </row>
    <row r="110" spans="2:14" ht="40.5" customHeight="1" thickBot="1" thickTop="1">
      <c r="B110" s="7">
        <v>106</v>
      </c>
      <c r="C110" s="5" t="s">
        <v>172</v>
      </c>
      <c r="D110" s="5" t="s">
        <v>173</v>
      </c>
      <c r="E110" s="9">
        <v>1</v>
      </c>
      <c r="F110" s="9">
        <v>1</v>
      </c>
      <c r="G110" s="12">
        <f>84167.0016*E110*F110</f>
        <v>84167.0016</v>
      </c>
      <c r="H110" s="12">
        <f>681246.96139476*E110*F110</f>
        <v>681246.96139476</v>
      </c>
      <c r="I110" s="12">
        <f t="shared" si="13"/>
        <v>0</v>
      </c>
      <c r="J110" s="12">
        <f>84335.3356032*E110*F110</f>
        <v>84335.3356032</v>
      </c>
      <c r="K110" s="12">
        <f>148706.12725464*E110*F110</f>
        <v>148706.12725464</v>
      </c>
      <c r="L110" s="12">
        <f t="shared" si="14"/>
        <v>0</v>
      </c>
      <c r="M110" s="29">
        <f aca="true" t="shared" si="17" ref="M110:M130">N110/F110/E110/100</f>
        <v>9984.554258526</v>
      </c>
      <c r="N110" s="14">
        <f t="shared" si="15"/>
        <v>998455.4258525999</v>
      </c>
    </row>
    <row r="111" spans="2:14" ht="40.5" customHeight="1" thickBot="1" thickTop="1">
      <c r="B111" s="7">
        <v>107</v>
      </c>
      <c r="C111" s="5" t="s">
        <v>174</v>
      </c>
      <c r="D111" s="5" t="s">
        <v>175</v>
      </c>
      <c r="E111" s="9">
        <v>1</v>
      </c>
      <c r="F111" s="9">
        <v>1</v>
      </c>
      <c r="G111" s="12">
        <f>11581.213776*E111*F111</f>
        <v>11581.213776</v>
      </c>
      <c r="H111" s="12">
        <f>77788.16256348*E111*F111</f>
        <v>77788.16256348</v>
      </c>
      <c r="I111" s="12">
        <f t="shared" si="13"/>
        <v>0</v>
      </c>
      <c r="J111" s="12">
        <f>11604.376203552*E111*F111</f>
        <v>11604.376203552</v>
      </c>
      <c r="K111" s="12">
        <f>17670.406695031*E111*F111</f>
        <v>17670.406695031</v>
      </c>
      <c r="L111" s="12">
        <f t="shared" si="14"/>
        <v>0</v>
      </c>
      <c r="M111" s="29">
        <f t="shared" si="17"/>
        <v>1186.44159238063</v>
      </c>
      <c r="N111" s="14">
        <f t="shared" si="15"/>
        <v>118644.159238063</v>
      </c>
    </row>
    <row r="112" spans="2:14" ht="40.5" customHeight="1" thickBot="1" thickTop="1">
      <c r="B112" s="7">
        <v>108</v>
      </c>
      <c r="C112" s="5" t="s">
        <v>176</v>
      </c>
      <c r="D112" s="5" t="s">
        <v>177</v>
      </c>
      <c r="E112" s="9">
        <v>1</v>
      </c>
      <c r="F112" s="9">
        <v>1</v>
      </c>
      <c r="G112" s="12">
        <f>18854.046816*E112*F112</f>
        <v>18854.046816</v>
      </c>
      <c r="H112" s="12">
        <f>38297.9488536*E112*F112</f>
        <v>38297.9488536</v>
      </c>
      <c r="I112" s="12">
        <f t="shared" si="13"/>
        <v>0</v>
      </c>
      <c r="J112" s="12">
        <f>18891.754909632*E112*F112</f>
        <v>18891.754909632</v>
      </c>
      <c r="K112" s="12">
        <f>13307.656351366*E112*F112</f>
        <v>13307.656351366</v>
      </c>
      <c r="L112" s="12">
        <f t="shared" si="14"/>
        <v>0</v>
      </c>
      <c r="M112" s="29">
        <f t="shared" si="17"/>
        <v>893.5140693059799</v>
      </c>
      <c r="N112" s="14">
        <f t="shared" si="15"/>
        <v>89351.406930598</v>
      </c>
    </row>
    <row r="113" spans="2:14" ht="40.5" customHeight="1" thickBot="1" thickTop="1">
      <c r="B113" s="7">
        <v>109</v>
      </c>
      <c r="C113" s="5" t="s">
        <v>178</v>
      </c>
      <c r="D113" s="5" t="s">
        <v>56</v>
      </c>
      <c r="E113" s="9">
        <v>1</v>
      </c>
      <c r="F113" s="9">
        <v>1</v>
      </c>
      <c r="G113" s="12">
        <f>12433.883154*E113*F113</f>
        <v>12433.883154</v>
      </c>
      <c r="H113" s="12">
        <f>45648.194098176*E113*F113</f>
        <v>45648.194098176</v>
      </c>
      <c r="I113" s="12">
        <f t="shared" si="13"/>
        <v>0</v>
      </c>
      <c r="J113" s="12">
        <f>12458.750920308*E113*F113</f>
        <v>12458.750920308</v>
      </c>
      <c r="K113" s="12">
        <f>12344.644930185*E113*F113</f>
        <v>12344.644930185</v>
      </c>
      <c r="L113" s="12">
        <f t="shared" si="14"/>
        <v>0</v>
      </c>
      <c r="M113" s="29">
        <f t="shared" si="17"/>
        <v>828.8547310266899</v>
      </c>
      <c r="N113" s="14">
        <f t="shared" si="15"/>
        <v>82885.473102669</v>
      </c>
    </row>
    <row r="114" spans="2:14" ht="40.5" customHeight="1" thickBot="1" thickTop="1">
      <c r="B114" s="7">
        <v>110</v>
      </c>
      <c r="C114" s="5" t="s">
        <v>179</v>
      </c>
      <c r="D114" s="5" t="s">
        <v>180</v>
      </c>
      <c r="E114" s="9">
        <v>1</v>
      </c>
      <c r="F114" s="9">
        <v>1</v>
      </c>
      <c r="G114" s="12">
        <f>179.63418*E114*F114</f>
        <v>179.63418</v>
      </c>
      <c r="H114" s="12">
        <f>547.817469408*E114*F114</f>
        <v>547.817469408</v>
      </c>
      <c r="I114" s="12">
        <f t="shared" si="13"/>
        <v>0</v>
      </c>
      <c r="J114" s="12">
        <f>179.99344836*E114*F114</f>
        <v>179.99344836</v>
      </c>
      <c r="K114" s="12">
        <f>158.8028921094*E114*F114</f>
        <v>158.8028921094</v>
      </c>
      <c r="L114" s="12">
        <f t="shared" si="14"/>
        <v>0</v>
      </c>
      <c r="M114" s="29">
        <f>N114/F114/E114</f>
        <v>1066.2479898774</v>
      </c>
      <c r="N114" s="14">
        <f t="shared" si="15"/>
        <v>1066.2479898774</v>
      </c>
    </row>
    <row r="115" spans="2:14" ht="40.5" customHeight="1" thickBot="1" thickTop="1">
      <c r="B115" s="7">
        <v>111</v>
      </c>
      <c r="C115" s="5" t="s">
        <v>181</v>
      </c>
      <c r="D115" s="5" t="s">
        <v>182</v>
      </c>
      <c r="E115" s="9">
        <v>1</v>
      </c>
      <c r="F115" s="9">
        <v>1</v>
      </c>
      <c r="G115" s="12">
        <f>65538.424908*E115*F115</f>
        <v>65538.424908</v>
      </c>
      <c r="H115" s="12">
        <f>10278.848448*E115*F115</f>
        <v>10278.848448</v>
      </c>
      <c r="I115" s="12">
        <f>351.33384*E115*F115</f>
        <v>351.33384</v>
      </c>
      <c r="J115" s="12">
        <f>65926.674821304*E115*F115</f>
        <v>65926.674821304</v>
      </c>
      <c r="K115" s="12">
        <f>24866.674353028*E115*F115</f>
        <v>24866.674353028</v>
      </c>
      <c r="L115" s="12">
        <f t="shared" si="14"/>
        <v>0</v>
      </c>
      <c r="M115" s="29">
        <f t="shared" si="17"/>
        <v>1669.6195637033202</v>
      </c>
      <c r="N115" s="14">
        <f t="shared" si="15"/>
        <v>166961.95637033202</v>
      </c>
    </row>
    <row r="116" spans="2:14" ht="40.5" customHeight="1" thickBot="1" thickTop="1">
      <c r="B116" s="7">
        <v>112</v>
      </c>
      <c r="C116" s="5" t="s">
        <v>183</v>
      </c>
      <c r="D116" s="5" t="s">
        <v>184</v>
      </c>
      <c r="E116" s="9">
        <v>1</v>
      </c>
      <c r="F116" s="9">
        <v>1</v>
      </c>
      <c r="G116" s="12">
        <f>36.69864*E116*F116</f>
        <v>36.69864</v>
      </c>
      <c r="H116" s="12">
        <f>560.567205432*E116*F116</f>
        <v>560.567205432</v>
      </c>
      <c r="I116" s="12">
        <f>0.7813338*E116*F116</f>
        <v>0.7813338</v>
      </c>
      <c r="J116" s="12">
        <f>36.77203728*E116*F116</f>
        <v>36.77203728</v>
      </c>
      <c r="K116" s="12">
        <f>111.0933628896*E116*F116</f>
        <v>111.0933628896</v>
      </c>
      <c r="L116" s="12">
        <f t="shared" si="14"/>
        <v>0</v>
      </c>
      <c r="M116" s="29">
        <f>N116/F116/E116</f>
        <v>745.9125794015999</v>
      </c>
      <c r="N116" s="14">
        <f t="shared" si="15"/>
        <v>745.9125794015999</v>
      </c>
    </row>
    <row r="117" spans="2:14" ht="40.5" customHeight="1" thickBot="1" thickTop="1">
      <c r="B117" s="7">
        <v>113</v>
      </c>
      <c r="C117" s="5" t="s">
        <v>185</v>
      </c>
      <c r="D117" s="5" t="s">
        <v>186</v>
      </c>
      <c r="E117" s="9">
        <v>1</v>
      </c>
      <c r="F117" s="9">
        <v>1</v>
      </c>
      <c r="G117" s="12">
        <f>33227.04*E117*F117</f>
        <v>33227.04</v>
      </c>
      <c r="H117" s="12">
        <f>19307.903001768*E117*F117</f>
        <v>19307.903001768</v>
      </c>
      <c r="I117" s="12">
        <f aca="true" t="shared" si="18" ref="I117:I130">0*E117*F117</f>
        <v>0</v>
      </c>
      <c r="J117" s="12">
        <f>33293.49408*E117*F117</f>
        <v>33293.49408</v>
      </c>
      <c r="K117" s="12">
        <f>15019.976489309*E117*F117</f>
        <v>15019.976489309</v>
      </c>
      <c r="L117" s="12">
        <f t="shared" si="14"/>
        <v>0</v>
      </c>
      <c r="M117" s="29">
        <f t="shared" si="17"/>
        <v>1008.48413571077</v>
      </c>
      <c r="N117" s="14">
        <f t="shared" si="15"/>
        <v>100848.413571077</v>
      </c>
    </row>
    <row r="118" spans="2:14" ht="40.5" customHeight="1" thickBot="1" thickTop="1">
      <c r="B118" s="7">
        <v>114</v>
      </c>
      <c r="C118" s="5" t="s">
        <v>187</v>
      </c>
      <c r="D118" s="5" t="s">
        <v>188</v>
      </c>
      <c r="E118" s="9">
        <v>1</v>
      </c>
      <c r="F118" s="9">
        <v>1</v>
      </c>
      <c r="G118" s="12">
        <f>9762.192*E118*F118</f>
        <v>9762.192</v>
      </c>
      <c r="H118" s="12">
        <f>6156.26648352*E118*F118</f>
        <v>6156.26648352</v>
      </c>
      <c r="I118" s="12">
        <f t="shared" si="18"/>
        <v>0</v>
      </c>
      <c r="J118" s="12">
        <f>9781.716384*E118*F118</f>
        <v>9781.716384</v>
      </c>
      <c r="K118" s="12">
        <f>4497.530601816*E118*F118</f>
        <v>4497.530601816</v>
      </c>
      <c r="L118" s="12">
        <f t="shared" si="14"/>
        <v>0</v>
      </c>
      <c r="M118" s="29">
        <f t="shared" si="17"/>
        <v>301.97705469336</v>
      </c>
      <c r="N118" s="14">
        <f t="shared" si="15"/>
        <v>30197.705469336</v>
      </c>
    </row>
    <row r="119" spans="2:14" ht="40.5" customHeight="1" thickBot="1" thickTop="1">
      <c r="B119" s="7">
        <v>115</v>
      </c>
      <c r="C119" s="5" t="s">
        <v>189</v>
      </c>
      <c r="D119" s="5" t="s">
        <v>190</v>
      </c>
      <c r="E119" s="9">
        <v>1</v>
      </c>
      <c r="F119" s="9">
        <v>1</v>
      </c>
      <c r="G119" s="12">
        <f>3579.4704*E119*F119</f>
        <v>3579.4704</v>
      </c>
      <c r="H119" s="12">
        <f>2402.8990272*E119*F119</f>
        <v>2402.8990272</v>
      </c>
      <c r="I119" s="12">
        <f t="shared" si="18"/>
        <v>0</v>
      </c>
      <c r="J119" s="12">
        <f>3586.6293408*E119*F119</f>
        <v>3586.6293408</v>
      </c>
      <c r="K119" s="12">
        <f>1674.5747844*E119*F119</f>
        <v>1674.5747844</v>
      </c>
      <c r="L119" s="12">
        <f t="shared" si="14"/>
        <v>0</v>
      </c>
      <c r="M119" s="29">
        <f t="shared" si="17"/>
        <v>112.43573552400001</v>
      </c>
      <c r="N119" s="14">
        <f t="shared" si="15"/>
        <v>11243.573552400001</v>
      </c>
    </row>
    <row r="120" spans="2:14" ht="40.5" customHeight="1" thickBot="1" thickTop="1">
      <c r="B120" s="7">
        <v>116</v>
      </c>
      <c r="C120" s="5" t="s">
        <v>191</v>
      </c>
      <c r="D120" s="5" t="s">
        <v>92</v>
      </c>
      <c r="E120" s="9">
        <v>1</v>
      </c>
      <c r="F120" s="9">
        <v>1</v>
      </c>
      <c r="G120" s="12">
        <f>8460.5664*E120*F120</f>
        <v>8460.5664</v>
      </c>
      <c r="H120" s="12">
        <f>15108.372649833*E120*F120</f>
        <v>15108.372649833</v>
      </c>
      <c r="I120" s="12">
        <f t="shared" si="18"/>
        <v>0</v>
      </c>
      <c r="J120" s="12">
        <f>8477.4875328*E120*F120</f>
        <v>8477.4875328</v>
      </c>
      <c r="K120" s="12">
        <f>5608.1246519608*E120*F120</f>
        <v>5608.1246519608</v>
      </c>
      <c r="L120" s="12">
        <f t="shared" si="14"/>
        <v>0</v>
      </c>
      <c r="M120" s="29">
        <f t="shared" si="17"/>
        <v>376.54551234593805</v>
      </c>
      <c r="N120" s="14">
        <f t="shared" si="15"/>
        <v>37654.551234593804</v>
      </c>
    </row>
    <row r="121" spans="2:14" ht="40.5" customHeight="1" thickBot="1" thickTop="1">
      <c r="B121" s="7">
        <v>117</v>
      </c>
      <c r="C121" s="5" t="s">
        <v>192</v>
      </c>
      <c r="D121" s="5" t="s">
        <v>92</v>
      </c>
      <c r="E121" s="9">
        <v>1</v>
      </c>
      <c r="F121" s="9">
        <v>1</v>
      </c>
      <c r="G121" s="12">
        <f>11211.09*E121*F121</f>
        <v>11211.09</v>
      </c>
      <c r="H121" s="12">
        <f>14435.206327104*E121*F121</f>
        <v>14435.206327104</v>
      </c>
      <c r="I121" s="12">
        <f t="shared" si="18"/>
        <v>0</v>
      </c>
      <c r="J121" s="12">
        <f>11233.51218*E121*F121</f>
        <v>11233.51218</v>
      </c>
      <c r="K121" s="12">
        <f>6453.9664887432*E121*F121</f>
        <v>6453.9664887432</v>
      </c>
      <c r="L121" s="12">
        <f t="shared" si="14"/>
        <v>0</v>
      </c>
      <c r="M121" s="29">
        <f t="shared" si="17"/>
        <v>433.337749958472</v>
      </c>
      <c r="N121" s="14">
        <f t="shared" si="15"/>
        <v>43333.7749958472</v>
      </c>
    </row>
    <row r="122" spans="2:14" ht="40.5" customHeight="1" thickBot="1" thickTop="1">
      <c r="B122" s="7">
        <v>118</v>
      </c>
      <c r="C122" s="5" t="s">
        <v>193</v>
      </c>
      <c r="D122" s="5" t="s">
        <v>92</v>
      </c>
      <c r="E122" s="9">
        <v>1</v>
      </c>
      <c r="F122" s="9">
        <v>1</v>
      </c>
      <c r="G122" s="12">
        <f>4718.3928*E122*F122</f>
        <v>4718.3928</v>
      </c>
      <c r="H122" s="12">
        <f>3802.4748504*E122*F122</f>
        <v>3802.4748504</v>
      </c>
      <c r="I122" s="12">
        <f t="shared" si="18"/>
        <v>0</v>
      </c>
      <c r="J122" s="12">
        <f>4727.8295856*E122*F122</f>
        <v>4727.8295856</v>
      </c>
      <c r="K122" s="12">
        <f>2318.5220163*E122*F122</f>
        <v>2318.5220163</v>
      </c>
      <c r="L122" s="12">
        <f t="shared" si="14"/>
        <v>0</v>
      </c>
      <c r="M122" s="29">
        <f t="shared" si="17"/>
        <v>155.672192523</v>
      </c>
      <c r="N122" s="14">
        <f t="shared" si="15"/>
        <v>15567.2192523</v>
      </c>
    </row>
    <row r="123" spans="2:14" ht="40.5" customHeight="1" thickBot="1" thickTop="1">
      <c r="B123" s="7">
        <v>119</v>
      </c>
      <c r="C123" s="5" t="s">
        <v>194</v>
      </c>
      <c r="D123" s="5" t="s">
        <v>92</v>
      </c>
      <c r="E123" s="9">
        <v>1</v>
      </c>
      <c r="F123" s="9">
        <v>1</v>
      </c>
      <c r="G123" s="12">
        <f>69804.9*E123*F123</f>
        <v>69804.9</v>
      </c>
      <c r="H123" s="12">
        <f>2419.33862016*E123*F123</f>
        <v>2419.33862016</v>
      </c>
      <c r="I123" s="12">
        <f t="shared" si="18"/>
        <v>0</v>
      </c>
      <c r="J123" s="12">
        <f>69944.5098*E123*F123</f>
        <v>69944.5098</v>
      </c>
      <c r="K123" s="12">
        <f>24879.530973528*E123*F123</f>
        <v>24879.530973528</v>
      </c>
      <c r="L123" s="12">
        <f t="shared" si="14"/>
        <v>0</v>
      </c>
      <c r="M123" s="29">
        <f t="shared" si="17"/>
        <v>1670.4827939368797</v>
      </c>
      <c r="N123" s="14">
        <f t="shared" si="15"/>
        <v>167048.27939368796</v>
      </c>
    </row>
    <row r="124" spans="2:14" ht="40.5" customHeight="1" thickBot="1" thickTop="1">
      <c r="B124" s="7">
        <v>120</v>
      </c>
      <c r="C124" s="5" t="s">
        <v>195</v>
      </c>
      <c r="D124" s="5" t="s">
        <v>92</v>
      </c>
      <c r="E124" s="9">
        <v>1</v>
      </c>
      <c r="F124" s="9">
        <v>1</v>
      </c>
      <c r="G124" s="12">
        <f>61343.7*E124*F124</f>
        <v>61343.7</v>
      </c>
      <c r="H124" s="12">
        <f>2419.33862016*E124*F124</f>
        <v>2419.33862016</v>
      </c>
      <c r="I124" s="12">
        <f t="shared" si="18"/>
        <v>0</v>
      </c>
      <c r="J124" s="12">
        <f>61466.3874*E124*F124</f>
        <v>61466.3874</v>
      </c>
      <c r="K124" s="12">
        <f>21915.149553528*E124*F124</f>
        <v>21915.149553528</v>
      </c>
      <c r="L124" s="12">
        <f t="shared" si="14"/>
        <v>0</v>
      </c>
      <c r="M124" s="29">
        <f t="shared" si="17"/>
        <v>1471.4457557368798</v>
      </c>
      <c r="N124" s="14">
        <f t="shared" si="15"/>
        <v>147144.575573688</v>
      </c>
    </row>
    <row r="125" spans="2:14" ht="40.5" customHeight="1" thickBot="1" thickTop="1">
      <c r="B125" s="7">
        <v>121</v>
      </c>
      <c r="C125" s="5" t="s">
        <v>196</v>
      </c>
      <c r="D125" s="5" t="s">
        <v>197</v>
      </c>
      <c r="E125" s="9">
        <v>1</v>
      </c>
      <c r="F125" s="9">
        <v>1</v>
      </c>
      <c r="G125" s="12">
        <f>7339.728*E125*F125</f>
        <v>7339.728</v>
      </c>
      <c r="H125" s="12">
        <f>241.933862016*E125*F125</f>
        <v>241.933862016</v>
      </c>
      <c r="I125" s="12">
        <f t="shared" si="18"/>
        <v>0</v>
      </c>
      <c r="J125" s="12">
        <f>7354.407456*E125*F125</f>
        <v>7354.407456</v>
      </c>
      <c r="K125" s="12">
        <f>2613.8121306528*E125*F125</f>
        <v>2613.8121306528</v>
      </c>
      <c r="L125" s="12">
        <f t="shared" si="14"/>
        <v>0</v>
      </c>
      <c r="M125" s="29">
        <f t="shared" si="17"/>
        <v>175.498814486688</v>
      </c>
      <c r="N125" s="14">
        <f t="shared" si="15"/>
        <v>17549.8814486688</v>
      </c>
    </row>
    <row r="126" spans="2:14" ht="40.5" customHeight="1" thickBot="1" thickTop="1">
      <c r="B126" s="7">
        <v>122</v>
      </c>
      <c r="C126" s="5" t="s">
        <v>198</v>
      </c>
      <c r="D126" s="5" t="s">
        <v>199</v>
      </c>
      <c r="E126" s="9">
        <v>1</v>
      </c>
      <c r="F126" s="9">
        <v>1</v>
      </c>
      <c r="G126" s="12">
        <f>10533.4713*E126*F126</f>
        <v>10533.4713</v>
      </c>
      <c r="H126" s="12">
        <f>1309.562511912*E126*F126</f>
        <v>1309.562511912</v>
      </c>
      <c r="I126" s="12">
        <f t="shared" si="18"/>
        <v>0</v>
      </c>
      <c r="J126" s="12">
        <f>10554.5382426*E126*F126</f>
        <v>10554.5382426</v>
      </c>
      <c r="K126" s="12">
        <f>3919.5751095396*E126*F126</f>
        <v>3919.5751095396</v>
      </c>
      <c r="L126" s="12">
        <f t="shared" si="14"/>
        <v>0</v>
      </c>
      <c r="M126" s="29">
        <f t="shared" si="17"/>
        <v>263.171471640516</v>
      </c>
      <c r="N126" s="14">
        <f t="shared" si="15"/>
        <v>26317.1471640516</v>
      </c>
    </row>
    <row r="127" spans="2:14" ht="40.5" customHeight="1" thickBot="1" thickTop="1">
      <c r="B127" s="7">
        <v>123</v>
      </c>
      <c r="C127" s="5" t="s">
        <v>200</v>
      </c>
      <c r="D127" s="5" t="s">
        <v>199</v>
      </c>
      <c r="E127" s="9">
        <v>1</v>
      </c>
      <c r="F127" s="9">
        <v>1</v>
      </c>
      <c r="G127" s="12">
        <f>13552.173756*E127*F127</f>
        <v>13552.173756</v>
      </c>
      <c r="H127" s="12">
        <f>1672.844009328*E127*F127</f>
        <v>1672.844009328</v>
      </c>
      <c r="I127" s="12">
        <f t="shared" si="18"/>
        <v>0</v>
      </c>
      <c r="J127" s="12">
        <f>13579.278103512*E127*F127</f>
        <v>13579.278103512</v>
      </c>
      <c r="K127" s="12">
        <f>5040.751777047*E127*F127</f>
        <v>5040.751777047</v>
      </c>
      <c r="L127" s="12">
        <f t="shared" si="14"/>
        <v>0</v>
      </c>
      <c r="M127" s="29">
        <f t="shared" si="17"/>
        <v>338.45047645887</v>
      </c>
      <c r="N127" s="14">
        <f t="shared" si="15"/>
        <v>33845.047645887</v>
      </c>
    </row>
    <row r="128" spans="2:14" ht="40.5" customHeight="1" thickBot="1" thickTop="1">
      <c r="B128" s="7">
        <v>124</v>
      </c>
      <c r="C128" s="5" t="s">
        <v>201</v>
      </c>
      <c r="D128" s="5" t="s">
        <v>202</v>
      </c>
      <c r="E128" s="9">
        <v>1</v>
      </c>
      <c r="F128" s="9">
        <v>1</v>
      </c>
      <c r="G128" s="12">
        <f>7476.084*E128*F128</f>
        <v>7476.084</v>
      </c>
      <c r="H128" s="12">
        <f>703.90592496*E128*F128</f>
        <v>703.90592496</v>
      </c>
      <c r="I128" s="12">
        <f t="shared" si="18"/>
        <v>0</v>
      </c>
      <c r="J128" s="12">
        <f>7491.036168*E128*F128</f>
        <v>7491.036168</v>
      </c>
      <c r="K128" s="12">
        <f>2742.429566268*E128*F128</f>
        <v>2742.429566268</v>
      </c>
      <c r="L128" s="12">
        <f t="shared" si="14"/>
        <v>0</v>
      </c>
      <c r="M128" s="29">
        <f t="shared" si="17"/>
        <v>184.13455659228003</v>
      </c>
      <c r="N128" s="14">
        <f t="shared" si="15"/>
        <v>18413.455659228002</v>
      </c>
    </row>
    <row r="129" spans="2:14" ht="40.5" customHeight="1" thickBot="1" thickTop="1">
      <c r="B129" s="7">
        <v>125</v>
      </c>
      <c r="C129" s="5" t="s">
        <v>203</v>
      </c>
      <c r="D129" s="5" t="s">
        <v>202</v>
      </c>
      <c r="E129" s="9">
        <v>1</v>
      </c>
      <c r="F129" s="9">
        <v>1</v>
      </c>
      <c r="G129" s="12">
        <f>14287.6272*E129*F129</f>
        <v>14287.6272</v>
      </c>
      <c r="H129" s="12">
        <f>4296.720356352*E129*F129</f>
        <v>4296.720356352</v>
      </c>
      <c r="I129" s="12">
        <f t="shared" si="18"/>
        <v>0</v>
      </c>
      <c r="J129" s="12">
        <f>14316.2024544*E129*F129</f>
        <v>14316.2024544</v>
      </c>
      <c r="K129" s="12">
        <f>5757.5962518816*E129*F129</f>
        <v>5757.5962518816</v>
      </c>
      <c r="L129" s="12">
        <f t="shared" si="14"/>
        <v>0</v>
      </c>
      <c r="M129" s="29">
        <f t="shared" si="17"/>
        <v>386.581462626336</v>
      </c>
      <c r="N129" s="14">
        <f t="shared" si="15"/>
        <v>38658.1462626336</v>
      </c>
    </row>
    <row r="130" spans="2:14" ht="40.5" customHeight="1" thickBot="1" thickTop="1">
      <c r="B130" s="7">
        <v>126</v>
      </c>
      <c r="C130" s="5" t="s">
        <v>204</v>
      </c>
      <c r="D130" s="5" t="s">
        <v>205</v>
      </c>
      <c r="E130" s="9">
        <v>1</v>
      </c>
      <c r="F130" s="9">
        <v>1</v>
      </c>
      <c r="G130" s="12">
        <f>23854.116*E130*F130</f>
        <v>23854.116</v>
      </c>
      <c r="H130" s="12">
        <f>276884.12872728*E130*F130</f>
        <v>276884.12872728</v>
      </c>
      <c r="I130" s="12">
        <f t="shared" si="18"/>
        <v>0</v>
      </c>
      <c r="J130" s="12">
        <f>23901.824232*E130*F130</f>
        <v>23901.824232</v>
      </c>
      <c r="K130" s="12">
        <f>56812.012067874*E130*F130</f>
        <v>56812.012067874</v>
      </c>
      <c r="L130" s="12">
        <f t="shared" si="14"/>
        <v>0</v>
      </c>
      <c r="M130" s="29">
        <f t="shared" si="17"/>
        <v>3814.52081027154</v>
      </c>
      <c r="N130" s="14">
        <f t="shared" si="15"/>
        <v>381452.081027154</v>
      </c>
    </row>
    <row r="131" spans="2:14" ht="40.5" customHeight="1" thickBot="1" thickTop="1">
      <c r="B131" s="36" t="s">
        <v>206</v>
      </c>
      <c r="C131" s="37"/>
      <c r="D131" s="37"/>
      <c r="E131" s="37"/>
      <c r="F131" s="37"/>
      <c r="G131" s="38"/>
      <c r="H131" s="38"/>
      <c r="I131" s="38"/>
      <c r="J131" s="38"/>
      <c r="K131" s="38"/>
      <c r="L131" s="38"/>
      <c r="M131" s="38"/>
      <c r="N131" s="39"/>
    </row>
    <row r="132" spans="2:14" ht="40.5" customHeight="1" thickBot="1" thickTop="1">
      <c r="B132" s="6">
        <v>127</v>
      </c>
      <c r="C132" s="4" t="s">
        <v>207</v>
      </c>
      <c r="D132" s="4" t="s">
        <v>208</v>
      </c>
      <c r="E132" s="8">
        <v>1</v>
      </c>
      <c r="F132" s="8">
        <v>1</v>
      </c>
      <c r="G132" s="11">
        <f>14944.387656*E132*F132</f>
        <v>14944.387656</v>
      </c>
      <c r="H132" s="11">
        <f>30039.704797968*E132*F132</f>
        <v>30039.704797968</v>
      </c>
      <c r="I132" s="11">
        <f aca="true" t="shared" si="19" ref="I132:I163">0*E132*F132</f>
        <v>0</v>
      </c>
      <c r="J132" s="11">
        <f>14974.276431312*E132*F132</f>
        <v>14974.276431312</v>
      </c>
      <c r="K132" s="11">
        <f>10492.714554924*E132*F132</f>
        <v>10492.714554924</v>
      </c>
      <c r="L132" s="11">
        <f aca="true" t="shared" si="20" ref="L132:L195">0*E132*F132</f>
        <v>0</v>
      </c>
      <c r="M132" s="29">
        <f>N132/F132/E132</f>
        <v>70451.08344020399</v>
      </c>
      <c r="N132" s="13">
        <f aca="true" t="shared" si="21" ref="N132:N195">SUM(G132:L132)</f>
        <v>70451.08344020399</v>
      </c>
    </row>
    <row r="133" spans="2:14" ht="40.5" customHeight="1" thickBot="1" thickTop="1">
      <c r="B133" s="7">
        <v>128</v>
      </c>
      <c r="C133" s="5" t="s">
        <v>209</v>
      </c>
      <c r="D133" s="5" t="s">
        <v>208</v>
      </c>
      <c r="E133" s="9">
        <v>1</v>
      </c>
      <c r="F133" s="9">
        <v>1</v>
      </c>
      <c r="G133" s="12">
        <f>1096.32303*E133*F133</f>
        <v>1096.32303</v>
      </c>
      <c r="H133" s="12">
        <f>69385.04712*E133*F133</f>
        <v>69385.04712</v>
      </c>
      <c r="I133" s="12">
        <f t="shared" si="19"/>
        <v>0</v>
      </c>
      <c r="J133" s="12">
        <f>1098.51567606*E133*F133</f>
        <v>1098.51567606</v>
      </c>
      <c r="K133" s="12">
        <f>12526.48001956*E133*F133</f>
        <v>12526.48001956</v>
      </c>
      <c r="L133" s="12">
        <f t="shared" si="20"/>
        <v>0</v>
      </c>
      <c r="M133" s="29">
        <f>N133/F133/E133</f>
        <v>84106.36584561999</v>
      </c>
      <c r="N133" s="14">
        <f t="shared" si="21"/>
        <v>84106.36584561999</v>
      </c>
    </row>
    <row r="134" spans="2:14" ht="40.5" customHeight="1" thickBot="1" thickTop="1">
      <c r="B134" s="7">
        <v>129</v>
      </c>
      <c r="C134" s="5" t="s">
        <v>210</v>
      </c>
      <c r="D134" s="5" t="s">
        <v>208</v>
      </c>
      <c r="E134" s="9">
        <v>1</v>
      </c>
      <c r="F134" s="9">
        <v>1</v>
      </c>
      <c r="G134" s="12">
        <f>502.771368*E134*F134</f>
        <v>502.771368</v>
      </c>
      <c r="H134" s="12">
        <f>0*E134*F134</f>
        <v>0</v>
      </c>
      <c r="I134" s="12">
        <f t="shared" si="19"/>
        <v>0</v>
      </c>
      <c r="J134" s="12">
        <f>503.776910736*E134*F134</f>
        <v>503.776910736</v>
      </c>
      <c r="K134" s="12">
        <f>176.1459487788*E134*F134</f>
        <v>176.1459487788</v>
      </c>
      <c r="L134" s="12">
        <f t="shared" si="20"/>
        <v>0</v>
      </c>
      <c r="M134" s="29">
        <f>N134/F134/E134</f>
        <v>1182.6942275147999</v>
      </c>
      <c r="N134" s="14">
        <f t="shared" si="21"/>
        <v>1182.6942275147999</v>
      </c>
    </row>
    <row r="135" spans="2:14" ht="40.5" customHeight="1" thickBot="1" thickTop="1">
      <c r="B135" s="7">
        <v>130</v>
      </c>
      <c r="C135" s="5" t="s">
        <v>211</v>
      </c>
      <c r="D135" s="5" t="s">
        <v>212</v>
      </c>
      <c r="E135" s="9">
        <v>1</v>
      </c>
      <c r="F135" s="9">
        <v>1</v>
      </c>
      <c r="G135" s="12">
        <f>10798.788*E135*F135</f>
        <v>10798.788</v>
      </c>
      <c r="H135" s="12">
        <f>26450.134080408*E135*F135</f>
        <v>26450.134080408</v>
      </c>
      <c r="I135" s="12">
        <f t="shared" si="19"/>
        <v>0</v>
      </c>
      <c r="J135" s="12">
        <f>10820.385576*E135*F135</f>
        <v>10820.385576</v>
      </c>
      <c r="K135" s="12">
        <f>8412.1288398714*E135*F135</f>
        <v>8412.1288398714</v>
      </c>
      <c r="L135" s="12">
        <f t="shared" si="20"/>
        <v>0</v>
      </c>
      <c r="M135" s="29">
        <f>N135/F135/E135/100</f>
        <v>564.814364962794</v>
      </c>
      <c r="N135" s="14">
        <f t="shared" si="21"/>
        <v>56481.4364962794</v>
      </c>
    </row>
    <row r="136" spans="2:14" ht="40.5" customHeight="1" thickBot="1" thickTop="1">
      <c r="B136" s="7">
        <v>131</v>
      </c>
      <c r="C136" s="5" t="s">
        <v>213</v>
      </c>
      <c r="D136" s="5" t="s">
        <v>212</v>
      </c>
      <c r="E136" s="9">
        <v>1</v>
      </c>
      <c r="F136" s="9">
        <v>1</v>
      </c>
      <c r="G136" s="12">
        <f>11629.464*E136*F136</f>
        <v>11629.464</v>
      </c>
      <c r="H136" s="12">
        <f>33204.166080408*E136*F136</f>
        <v>33204.166080408</v>
      </c>
      <c r="I136" s="12">
        <f t="shared" si="19"/>
        <v>0</v>
      </c>
      <c r="J136" s="12">
        <f>11652.722928*E136*F136</f>
        <v>11652.722928</v>
      </c>
      <c r="K136" s="12">
        <f>9885.1117764714*E136*F136</f>
        <v>9885.1117764714</v>
      </c>
      <c r="L136" s="12">
        <f t="shared" si="20"/>
        <v>0</v>
      </c>
      <c r="M136" s="29">
        <f aca="true" t="shared" si="22" ref="M136:M141">N136/F136/E136/100</f>
        <v>663.714647848794</v>
      </c>
      <c r="N136" s="14">
        <f t="shared" si="21"/>
        <v>66371.4647848794</v>
      </c>
    </row>
    <row r="137" spans="2:14" ht="40.5" customHeight="1" thickBot="1" thickTop="1">
      <c r="B137" s="7">
        <v>132</v>
      </c>
      <c r="C137" s="5" t="s">
        <v>214</v>
      </c>
      <c r="D137" s="5" t="s">
        <v>212</v>
      </c>
      <c r="E137" s="9">
        <v>1</v>
      </c>
      <c r="F137" s="9">
        <v>1</v>
      </c>
      <c r="G137" s="12">
        <f>17217.357553079*E137*F137</f>
        <v>17217.357553079</v>
      </c>
      <c r="H137" s="12">
        <f>40731.980083344*E137*F137</f>
        <v>40731.980083344</v>
      </c>
      <c r="I137" s="12">
        <f t="shared" si="19"/>
        <v>0</v>
      </c>
      <c r="J137" s="12">
        <f>17251.792268186*E137*F137</f>
        <v>17251.792268186</v>
      </c>
      <c r="K137" s="12">
        <f>13160.197733307*E137*F137</f>
        <v>13160.197733307</v>
      </c>
      <c r="L137" s="12">
        <f t="shared" si="20"/>
        <v>0</v>
      </c>
      <c r="M137" s="29">
        <f t="shared" si="22"/>
        <v>883.61327637916</v>
      </c>
      <c r="N137" s="14">
        <f t="shared" si="21"/>
        <v>88361.327637916</v>
      </c>
    </row>
    <row r="138" spans="2:14" ht="40.5" customHeight="1" thickBot="1" thickTop="1">
      <c r="B138" s="7">
        <v>133</v>
      </c>
      <c r="C138" s="5" t="s">
        <v>215</v>
      </c>
      <c r="D138" s="5" t="s">
        <v>212</v>
      </c>
      <c r="E138" s="9">
        <v>1</v>
      </c>
      <c r="F138" s="9">
        <v>1</v>
      </c>
      <c r="G138" s="12">
        <f>19706.008080949*E138*F138</f>
        <v>19706.008080949</v>
      </c>
      <c r="H138" s="12">
        <f>47577.330586224*E138*F138</f>
        <v>47577.330586224</v>
      </c>
      <c r="I138" s="12">
        <f t="shared" si="19"/>
        <v>0</v>
      </c>
      <c r="J138" s="12">
        <f>19745.420097111*E138*F138</f>
        <v>19745.420097111</v>
      </c>
      <c r="K138" s="12">
        <f>15230.03278375*E138*F138</f>
        <v>15230.03278375</v>
      </c>
      <c r="L138" s="12">
        <f t="shared" si="20"/>
        <v>0</v>
      </c>
      <c r="M138" s="29">
        <f t="shared" si="22"/>
        <v>1022.58791548034</v>
      </c>
      <c r="N138" s="14">
        <f t="shared" si="21"/>
        <v>102258.791548034</v>
      </c>
    </row>
    <row r="139" spans="2:14" ht="40.5" customHeight="1" thickBot="1" thickTop="1">
      <c r="B139" s="7">
        <v>134</v>
      </c>
      <c r="C139" s="5" t="s">
        <v>216</v>
      </c>
      <c r="D139" s="5" t="s">
        <v>212</v>
      </c>
      <c r="E139" s="9">
        <v>1</v>
      </c>
      <c r="F139" s="9">
        <v>1</v>
      </c>
      <c r="G139" s="12">
        <f>25631.338656*E139*F139</f>
        <v>25631.338656</v>
      </c>
      <c r="H139" s="12">
        <f>60856.809409944*E139*F139</f>
        <v>60856.809409944</v>
      </c>
      <c r="I139" s="12">
        <f t="shared" si="19"/>
        <v>0</v>
      </c>
      <c r="J139" s="12">
        <f>25682.601333312*E139*F139</f>
        <v>25682.601333312</v>
      </c>
      <c r="K139" s="12">
        <f>19629.88114487*E139*F139</f>
        <v>19629.88114487</v>
      </c>
      <c r="L139" s="12">
        <f t="shared" si="20"/>
        <v>0</v>
      </c>
      <c r="M139" s="29">
        <f t="shared" si="22"/>
        <v>1318.0063054412597</v>
      </c>
      <c r="N139" s="14">
        <f t="shared" si="21"/>
        <v>131800.63054412598</v>
      </c>
    </row>
    <row r="140" spans="2:14" ht="40.5" customHeight="1" thickBot="1" thickTop="1">
      <c r="B140" s="7">
        <v>135</v>
      </c>
      <c r="C140" s="5" t="s">
        <v>217</v>
      </c>
      <c r="D140" s="5" t="s">
        <v>212</v>
      </c>
      <c r="E140" s="9">
        <v>1</v>
      </c>
      <c r="F140" s="9">
        <v>1</v>
      </c>
      <c r="G140" s="12">
        <f>28072.418529108*E140*F140</f>
        <v>28072.418529108</v>
      </c>
      <c r="H140" s="12">
        <f>77898.395100168*E140*F140</f>
        <v>77898.395100168</v>
      </c>
      <c r="I140" s="12">
        <f t="shared" si="19"/>
        <v>0</v>
      </c>
      <c r="J140" s="12">
        <f>28128.563366166*E140*F140</f>
        <v>28128.563366166</v>
      </c>
      <c r="K140" s="12">
        <f>23467.390974202*E140*F140</f>
        <v>23467.390974202</v>
      </c>
      <c r="L140" s="12">
        <f t="shared" si="20"/>
        <v>0</v>
      </c>
      <c r="M140" s="29">
        <f t="shared" si="22"/>
        <v>1575.6676796964398</v>
      </c>
      <c r="N140" s="14">
        <f t="shared" si="21"/>
        <v>157566.767969644</v>
      </c>
    </row>
    <row r="141" spans="2:14" ht="40.5" customHeight="1" thickBot="1" thickTop="1">
      <c r="B141" s="7">
        <v>136</v>
      </c>
      <c r="C141" s="5" t="s">
        <v>218</v>
      </c>
      <c r="D141" s="5" t="s">
        <v>212</v>
      </c>
      <c r="E141" s="9">
        <v>1</v>
      </c>
      <c r="F141" s="9">
        <v>1</v>
      </c>
      <c r="G141" s="12">
        <f>20766.9*E141*F141</f>
        <v>20766.9</v>
      </c>
      <c r="H141" s="12">
        <f>99501.323273496*E141*F141</f>
        <v>99501.323273496</v>
      </c>
      <c r="I141" s="12">
        <f t="shared" si="19"/>
        <v>0</v>
      </c>
      <c r="J141" s="12">
        <f>20808.4338*E141*F141</f>
        <v>20808.4338</v>
      </c>
      <c r="K141" s="12">
        <f>24688.414987862*E141*F141</f>
        <v>24688.414987862</v>
      </c>
      <c r="L141" s="12">
        <f t="shared" si="20"/>
        <v>0</v>
      </c>
      <c r="M141" s="29">
        <f t="shared" si="22"/>
        <v>1657.65072061358</v>
      </c>
      <c r="N141" s="14">
        <f t="shared" si="21"/>
        <v>165765.072061358</v>
      </c>
    </row>
    <row r="142" spans="2:14" ht="40.5" customHeight="1" thickBot="1" thickTop="1">
      <c r="B142" s="7">
        <v>137</v>
      </c>
      <c r="C142" s="5" t="s">
        <v>219</v>
      </c>
      <c r="D142" s="5" t="s">
        <v>220</v>
      </c>
      <c r="E142" s="9">
        <v>1</v>
      </c>
      <c r="F142" s="9">
        <v>1</v>
      </c>
      <c r="G142" s="12">
        <f>295.424052*E142*F142</f>
        <v>295.424052</v>
      </c>
      <c r="H142" s="12">
        <f>160.01398512*E142*F142</f>
        <v>160.01398512</v>
      </c>
      <c r="I142" s="12">
        <f t="shared" si="19"/>
        <v>0</v>
      </c>
      <c r="J142" s="12">
        <f>296.014900104*E142*F142</f>
        <v>296.014900104</v>
      </c>
      <c r="K142" s="12">
        <f>131.5042640142*E142*F142</f>
        <v>131.5042640142</v>
      </c>
      <c r="L142" s="12">
        <f t="shared" si="20"/>
        <v>0</v>
      </c>
      <c r="M142" s="29">
        <f>N142/F142/E142</f>
        <v>882.9572012381999</v>
      </c>
      <c r="N142" s="14">
        <f t="shared" si="21"/>
        <v>882.9572012381999</v>
      </c>
    </row>
    <row r="143" spans="2:14" ht="40.5" customHeight="1" thickBot="1" thickTop="1">
      <c r="B143" s="7">
        <v>138</v>
      </c>
      <c r="C143" s="5" t="s">
        <v>221</v>
      </c>
      <c r="D143" s="5" t="s">
        <v>220</v>
      </c>
      <c r="E143" s="9">
        <v>1</v>
      </c>
      <c r="F143" s="9">
        <v>1</v>
      </c>
      <c r="G143" s="12">
        <f>319.278168*E143*F143</f>
        <v>319.278168</v>
      </c>
      <c r="H143" s="12">
        <f>194.21523792*E143*F143</f>
        <v>194.21523792</v>
      </c>
      <c r="I143" s="12">
        <f t="shared" si="19"/>
        <v>0</v>
      </c>
      <c r="J143" s="12">
        <f>319.916724336*E143*F143</f>
        <v>319.916724336</v>
      </c>
      <c r="K143" s="12">
        <f>145.8467727948*E143*F143</f>
        <v>145.8467727948</v>
      </c>
      <c r="L143" s="12">
        <f t="shared" si="20"/>
        <v>0</v>
      </c>
      <c r="M143" s="29">
        <f>N143/F143/E143</f>
        <v>979.2569030508</v>
      </c>
      <c r="N143" s="14">
        <f t="shared" si="21"/>
        <v>979.2569030508</v>
      </c>
    </row>
    <row r="144" spans="2:14" ht="40.5" customHeight="1" thickBot="1" thickTop="1">
      <c r="B144" s="7">
        <v>139</v>
      </c>
      <c r="C144" s="5" t="s">
        <v>222</v>
      </c>
      <c r="D144" s="5" t="s">
        <v>220</v>
      </c>
      <c r="E144" s="9">
        <v>1</v>
      </c>
      <c r="F144" s="9">
        <v>1</v>
      </c>
      <c r="G144" s="12">
        <f>335.792556*E144*F144</f>
        <v>335.792556</v>
      </c>
      <c r="H144" s="12">
        <f>233.80013232*E144*F144</f>
        <v>233.80013232</v>
      </c>
      <c r="I144" s="12">
        <f t="shared" si="19"/>
        <v>0</v>
      </c>
      <c r="J144" s="12">
        <f>336.464141112*E144*F144</f>
        <v>336.464141112</v>
      </c>
      <c r="K144" s="12">
        <f>158.5599451506*E144*F144</f>
        <v>158.5599451506</v>
      </c>
      <c r="L144" s="12">
        <f t="shared" si="20"/>
        <v>0</v>
      </c>
      <c r="M144" s="29">
        <f>N144/F144/E144</f>
        <v>1064.6167745825999</v>
      </c>
      <c r="N144" s="14">
        <f t="shared" si="21"/>
        <v>1064.6167745825999</v>
      </c>
    </row>
    <row r="145" spans="2:14" ht="40.5" customHeight="1" thickBot="1" thickTop="1">
      <c r="B145" s="7">
        <v>140</v>
      </c>
      <c r="C145" s="5" t="s">
        <v>223</v>
      </c>
      <c r="D145" s="5" t="s">
        <v>224</v>
      </c>
      <c r="E145" s="9">
        <v>1</v>
      </c>
      <c r="F145" s="9">
        <v>1</v>
      </c>
      <c r="G145" s="12">
        <f>9706.246*E145*F145</f>
        <v>9706.246</v>
      </c>
      <c r="H145" s="12">
        <f>657953.27670528*E145*F145</f>
        <v>657953.27670528</v>
      </c>
      <c r="I145" s="12">
        <f t="shared" si="19"/>
        <v>0</v>
      </c>
      <c r="J145" s="12">
        <f>9725.658492*E145*F145</f>
        <v>9725.658492</v>
      </c>
      <c r="K145" s="12">
        <f>118542.40670952*E145*F145</f>
        <v>118542.40670952</v>
      </c>
      <c r="L145" s="12">
        <f t="shared" si="20"/>
        <v>0</v>
      </c>
      <c r="M145" s="29">
        <f aca="true" t="shared" si="23" ref="M145:M152">N145/F145/E145/100</f>
        <v>7959.275879068</v>
      </c>
      <c r="N145" s="14">
        <f t="shared" si="21"/>
        <v>795927.5879068</v>
      </c>
    </row>
    <row r="146" spans="2:14" ht="40.5" customHeight="1" thickBot="1" thickTop="1">
      <c r="B146" s="7">
        <v>141</v>
      </c>
      <c r="C146" s="5" t="s">
        <v>225</v>
      </c>
      <c r="D146" s="5" t="s">
        <v>224</v>
      </c>
      <c r="E146" s="9">
        <v>1</v>
      </c>
      <c r="F146" s="9">
        <v>1</v>
      </c>
      <c r="G146" s="12">
        <f>12353.404*E146*F146</f>
        <v>12353.404</v>
      </c>
      <c r="H146" s="12">
        <f>1048073.9007053*E146*F146</f>
        <v>1048073.9007053</v>
      </c>
      <c r="I146" s="12">
        <f t="shared" si="19"/>
        <v>0</v>
      </c>
      <c r="J146" s="12">
        <f>12378.110808*E146*F146</f>
        <v>12378.110808</v>
      </c>
      <c r="K146" s="12">
        <f>187740.94771482*E146*F146</f>
        <v>187740.94771482</v>
      </c>
      <c r="L146" s="12">
        <f t="shared" si="20"/>
        <v>0</v>
      </c>
      <c r="M146" s="29">
        <f t="shared" si="23"/>
        <v>12605.463632281202</v>
      </c>
      <c r="N146" s="14">
        <f t="shared" si="21"/>
        <v>1260546.3632281201</v>
      </c>
    </row>
    <row r="147" spans="2:14" ht="40.5" customHeight="1" thickBot="1" thickTop="1">
      <c r="B147" s="7">
        <v>142</v>
      </c>
      <c r="C147" s="5" t="s">
        <v>226</v>
      </c>
      <c r="D147" s="5" t="s">
        <v>227</v>
      </c>
      <c r="E147" s="9">
        <v>1</v>
      </c>
      <c r="F147" s="9">
        <v>1</v>
      </c>
      <c r="G147" s="12">
        <f>5426.4912*E147*F147</f>
        <v>5426.4912</v>
      </c>
      <c r="H147" s="12">
        <f>56150.791684992*E147*F147</f>
        <v>56150.791684992</v>
      </c>
      <c r="I147" s="12">
        <f t="shared" si="19"/>
        <v>0</v>
      </c>
      <c r="J147" s="12">
        <f>5437.3441824*E147*F147</f>
        <v>5437.3441824</v>
      </c>
      <c r="K147" s="12">
        <f>11727.559736794*E147*F147</f>
        <v>11727.559736794</v>
      </c>
      <c r="L147" s="12">
        <f t="shared" si="20"/>
        <v>0</v>
      </c>
      <c r="M147" s="29">
        <f t="shared" si="23"/>
        <v>787.4218680418602</v>
      </c>
      <c r="N147" s="14">
        <f t="shared" si="21"/>
        <v>78742.18680418601</v>
      </c>
    </row>
    <row r="148" spans="2:14" ht="40.5" customHeight="1" thickBot="1" thickTop="1">
      <c r="B148" s="7">
        <v>143</v>
      </c>
      <c r="C148" s="5" t="s">
        <v>228</v>
      </c>
      <c r="D148" s="5" t="s">
        <v>227</v>
      </c>
      <c r="E148" s="9">
        <v>1</v>
      </c>
      <c r="F148" s="9">
        <v>1</v>
      </c>
      <c r="G148" s="12">
        <f>5426.4912*E148*F148</f>
        <v>5426.4912</v>
      </c>
      <c r="H148" s="12">
        <f>70372.141684992*E148*F148</f>
        <v>70372.141684992</v>
      </c>
      <c r="I148" s="12">
        <f t="shared" si="19"/>
        <v>0</v>
      </c>
      <c r="J148" s="12">
        <f>5437.3441824*E148*F148</f>
        <v>5437.3441824</v>
      </c>
      <c r="K148" s="12">
        <f>14216.295986794*E148*F148</f>
        <v>14216.295986794</v>
      </c>
      <c r="L148" s="12">
        <f t="shared" si="20"/>
        <v>0</v>
      </c>
      <c r="M148" s="29">
        <f t="shared" si="23"/>
        <v>954.5227305418603</v>
      </c>
      <c r="N148" s="14">
        <f t="shared" si="21"/>
        <v>95452.27305418602</v>
      </c>
    </row>
    <row r="149" spans="2:14" ht="40.5" customHeight="1" thickBot="1" thickTop="1">
      <c r="B149" s="7">
        <v>144</v>
      </c>
      <c r="C149" s="5" t="s">
        <v>229</v>
      </c>
      <c r="D149" s="5" t="s">
        <v>230</v>
      </c>
      <c r="E149" s="9">
        <v>1</v>
      </c>
      <c r="F149" s="9">
        <v>1</v>
      </c>
      <c r="G149" s="12">
        <f>15418.2798*E149*F149</f>
        <v>15418.2798</v>
      </c>
      <c r="H149" s="12">
        <f>258479.98084322*E149*F149</f>
        <v>258479.98084322</v>
      </c>
      <c r="I149" s="12">
        <f t="shared" si="19"/>
        <v>0</v>
      </c>
      <c r="J149" s="12">
        <f>15449.1163596*E149*F149</f>
        <v>15449.1163596</v>
      </c>
      <c r="K149" s="12">
        <f>50635.790975493*E149*F149</f>
        <v>50635.790975493</v>
      </c>
      <c r="L149" s="12">
        <f t="shared" si="20"/>
        <v>0</v>
      </c>
      <c r="M149" s="29">
        <f t="shared" si="23"/>
        <v>3399.8316797831294</v>
      </c>
      <c r="N149" s="14">
        <f t="shared" si="21"/>
        <v>339983.16797831294</v>
      </c>
    </row>
    <row r="150" spans="2:14" ht="40.5" customHeight="1" thickBot="1" thickTop="1">
      <c r="B150" s="7">
        <v>145</v>
      </c>
      <c r="C150" s="5" t="s">
        <v>231</v>
      </c>
      <c r="D150" s="5" t="s">
        <v>232</v>
      </c>
      <c r="E150" s="9">
        <v>1</v>
      </c>
      <c r="F150" s="9">
        <v>1</v>
      </c>
      <c r="G150" s="12">
        <f>20090.4858*E150*F150</f>
        <v>20090.4858</v>
      </c>
      <c r="H150" s="12">
        <f>4935.4861623494*E150*F150</f>
        <v>4935.4861623494</v>
      </c>
      <c r="I150" s="12">
        <f t="shared" si="19"/>
        <v>0</v>
      </c>
      <c r="J150" s="12">
        <f>20130.6667716*E150*F150</f>
        <v>20130.6667716</v>
      </c>
      <c r="K150" s="12">
        <f>7902.4117784412*E150*F150</f>
        <v>7902.4117784412</v>
      </c>
      <c r="L150" s="12">
        <f t="shared" si="20"/>
        <v>0</v>
      </c>
      <c r="M150" s="29">
        <f t="shared" si="23"/>
        <v>530.5905051239059</v>
      </c>
      <c r="N150" s="14">
        <f t="shared" si="21"/>
        <v>53059.0505123906</v>
      </c>
    </row>
    <row r="151" spans="2:14" ht="40.5" customHeight="1" thickBot="1" thickTop="1">
      <c r="B151" s="7">
        <v>146</v>
      </c>
      <c r="C151" s="5" t="s">
        <v>233</v>
      </c>
      <c r="D151" s="5" t="s">
        <v>232</v>
      </c>
      <c r="E151" s="9">
        <v>1</v>
      </c>
      <c r="F151" s="9">
        <v>1</v>
      </c>
      <c r="G151" s="12">
        <f>20090.4858*E151*F151</f>
        <v>20090.4858</v>
      </c>
      <c r="H151" s="12">
        <f>1136.8448360935*E151*F151</f>
        <v>1136.8448360935</v>
      </c>
      <c r="I151" s="12">
        <f t="shared" si="19"/>
        <v>0</v>
      </c>
      <c r="J151" s="12">
        <f>20130.6667716*E151*F151</f>
        <v>20130.6667716</v>
      </c>
      <c r="K151" s="12">
        <f>7237.6495463464*E151*F151</f>
        <v>7237.6495463464</v>
      </c>
      <c r="L151" s="12">
        <f t="shared" si="20"/>
        <v>0</v>
      </c>
      <c r="M151" s="29">
        <f t="shared" si="23"/>
        <v>485.95646954039904</v>
      </c>
      <c r="N151" s="14">
        <f t="shared" si="21"/>
        <v>48595.646954039905</v>
      </c>
    </row>
    <row r="152" spans="2:14" ht="40.5" customHeight="1" thickBot="1" thickTop="1">
      <c r="B152" s="7">
        <v>147</v>
      </c>
      <c r="C152" s="5" t="s">
        <v>234</v>
      </c>
      <c r="D152" s="5" t="s">
        <v>232</v>
      </c>
      <c r="E152" s="9">
        <v>1</v>
      </c>
      <c r="F152" s="9">
        <v>1</v>
      </c>
      <c r="G152" s="12">
        <f>20090.4858*E152*F152</f>
        <v>20090.4858</v>
      </c>
      <c r="H152" s="12">
        <f>1637.66476584*E152*F152</f>
        <v>1637.66476584</v>
      </c>
      <c r="I152" s="12">
        <f t="shared" si="19"/>
        <v>0</v>
      </c>
      <c r="J152" s="12">
        <f>20130.6667716*E152*F152</f>
        <v>20130.6667716</v>
      </c>
      <c r="K152" s="12">
        <f>7325.293034052*E152*F152</f>
        <v>7325.293034052</v>
      </c>
      <c r="L152" s="12">
        <f t="shared" si="20"/>
        <v>0</v>
      </c>
      <c r="M152" s="29">
        <f t="shared" si="23"/>
        <v>491.84110371492005</v>
      </c>
      <c r="N152" s="14">
        <f t="shared" si="21"/>
        <v>49184.110371492</v>
      </c>
    </row>
    <row r="153" spans="2:14" ht="40.5" customHeight="1" thickBot="1" thickTop="1">
      <c r="B153" s="7">
        <v>148</v>
      </c>
      <c r="C153" s="5" t="s">
        <v>235</v>
      </c>
      <c r="D153" s="5" t="s">
        <v>236</v>
      </c>
      <c r="E153" s="9">
        <v>1</v>
      </c>
      <c r="F153" s="9">
        <v>1</v>
      </c>
      <c r="G153" s="12">
        <f>381.665856*E153*F153</f>
        <v>381.665856</v>
      </c>
      <c r="H153" s="12">
        <f>32920.479702*E153*F153</f>
        <v>32920.479702</v>
      </c>
      <c r="I153" s="12">
        <f t="shared" si="19"/>
        <v>0</v>
      </c>
      <c r="J153" s="12">
        <f>382.429187712*E153*F153</f>
        <v>382.429187712</v>
      </c>
      <c r="K153" s="12">
        <f>5894.8005804996*E153*F153</f>
        <v>5894.8005804996</v>
      </c>
      <c r="L153" s="12">
        <f t="shared" si="20"/>
        <v>0</v>
      </c>
      <c r="M153" s="29">
        <f aca="true" t="shared" si="24" ref="M153:M160">N153/F153/E153</f>
        <v>39579.37532621159</v>
      </c>
      <c r="N153" s="14">
        <f t="shared" si="21"/>
        <v>39579.37532621159</v>
      </c>
    </row>
    <row r="154" spans="2:14" ht="40.5" customHeight="1" thickBot="1" thickTop="1">
      <c r="B154" s="7">
        <v>149</v>
      </c>
      <c r="C154" s="5" t="s">
        <v>237</v>
      </c>
      <c r="D154" s="5" t="s">
        <v>236</v>
      </c>
      <c r="E154" s="9">
        <v>1</v>
      </c>
      <c r="F154" s="9">
        <v>1</v>
      </c>
      <c r="G154" s="12">
        <f>464.237796*E154*F154</f>
        <v>464.237796</v>
      </c>
      <c r="H154" s="12">
        <f>76532.77872*E154*F154</f>
        <v>76532.77872</v>
      </c>
      <c r="I154" s="12">
        <f t="shared" si="19"/>
        <v>0</v>
      </c>
      <c r="J154" s="12">
        <f>465.166271592*E154*F154</f>
        <v>465.166271592</v>
      </c>
      <c r="K154" s="12">
        <f>13555.881987829*E154*F154</f>
        <v>13555.881987829</v>
      </c>
      <c r="L154" s="12">
        <f t="shared" si="20"/>
        <v>0</v>
      </c>
      <c r="M154" s="29">
        <f t="shared" si="24"/>
        <v>91018.064775421</v>
      </c>
      <c r="N154" s="14">
        <f t="shared" si="21"/>
        <v>91018.064775421</v>
      </c>
    </row>
    <row r="155" spans="2:14" ht="40.5" customHeight="1" thickBot="1" thickTop="1">
      <c r="B155" s="7">
        <v>150</v>
      </c>
      <c r="C155" s="5" t="s">
        <v>238</v>
      </c>
      <c r="D155" s="5" t="s">
        <v>239</v>
      </c>
      <c r="E155" s="9">
        <v>1</v>
      </c>
      <c r="F155" s="9">
        <v>1</v>
      </c>
      <c r="G155" s="12">
        <f>2538.36*E155*F155</f>
        <v>2538.36</v>
      </c>
      <c r="H155" s="12">
        <f>13232.692736827*E155*F155</f>
        <v>13232.692736827</v>
      </c>
      <c r="I155" s="12">
        <f t="shared" si="19"/>
        <v>0</v>
      </c>
      <c r="J155" s="12">
        <f>2543.43672*E155*F155</f>
        <v>2543.43672</v>
      </c>
      <c r="K155" s="12">
        <f>3205.0356549448*E155*F155</f>
        <v>3205.0356549448</v>
      </c>
      <c r="L155" s="12">
        <f t="shared" si="20"/>
        <v>0</v>
      </c>
      <c r="M155" s="29">
        <f t="shared" si="24"/>
        <v>21519.525111771803</v>
      </c>
      <c r="N155" s="14">
        <f t="shared" si="21"/>
        <v>21519.525111771803</v>
      </c>
    </row>
    <row r="156" spans="2:14" ht="40.5" customHeight="1" thickBot="1" thickTop="1">
      <c r="B156" s="7">
        <v>151</v>
      </c>
      <c r="C156" s="5" t="s">
        <v>240</v>
      </c>
      <c r="D156" s="5" t="s">
        <v>241</v>
      </c>
      <c r="E156" s="9">
        <v>1</v>
      </c>
      <c r="F156" s="9">
        <v>1</v>
      </c>
      <c r="G156" s="12">
        <f>3807.54*E156*F156</f>
        <v>3807.54</v>
      </c>
      <c r="H156" s="12">
        <f>14902.128575928*E156*F156</f>
        <v>14902.128575928</v>
      </c>
      <c r="I156" s="12">
        <f t="shared" si="19"/>
        <v>0</v>
      </c>
      <c r="J156" s="12">
        <f>3815.15508*E156*F156</f>
        <v>3815.15508</v>
      </c>
      <c r="K156" s="12">
        <f>3941.8441397874*E156*F156</f>
        <v>3941.8441397874</v>
      </c>
      <c r="L156" s="12">
        <f t="shared" si="20"/>
        <v>0</v>
      </c>
      <c r="M156" s="29">
        <f t="shared" si="24"/>
        <v>26466.667795715402</v>
      </c>
      <c r="N156" s="14">
        <f t="shared" si="21"/>
        <v>26466.667795715402</v>
      </c>
    </row>
    <row r="157" spans="2:14" ht="40.5" customHeight="1" thickBot="1" thickTop="1">
      <c r="B157" s="7">
        <v>152</v>
      </c>
      <c r="C157" s="5" t="s">
        <v>242</v>
      </c>
      <c r="D157" s="5" t="s">
        <v>241</v>
      </c>
      <c r="E157" s="9">
        <v>1</v>
      </c>
      <c r="F157" s="9">
        <v>1</v>
      </c>
      <c r="G157" s="12">
        <f>4653.66*E157*F157</f>
        <v>4653.66</v>
      </c>
      <c r="H157" s="12">
        <f>20956.322303582*E157*F157</f>
        <v>20956.322303582</v>
      </c>
      <c r="I157" s="12">
        <f t="shared" si="19"/>
        <v>0</v>
      </c>
      <c r="J157" s="12">
        <f>4662.96732*E157*F157</f>
        <v>4662.96732</v>
      </c>
      <c r="K157" s="12">
        <f>5297.7661841269*E157*F157</f>
        <v>5297.7661841269</v>
      </c>
      <c r="L157" s="12">
        <f t="shared" si="20"/>
        <v>0</v>
      </c>
      <c r="M157" s="29">
        <f t="shared" si="24"/>
        <v>35570.7158077089</v>
      </c>
      <c r="N157" s="14">
        <f t="shared" si="21"/>
        <v>35570.7158077089</v>
      </c>
    </row>
    <row r="158" spans="2:14" ht="40.5" customHeight="1" thickBot="1" thickTop="1">
      <c r="B158" s="7">
        <v>153</v>
      </c>
      <c r="C158" s="5" t="s">
        <v>243</v>
      </c>
      <c r="D158" s="5" t="s">
        <v>241</v>
      </c>
      <c r="E158" s="9">
        <v>1</v>
      </c>
      <c r="F158" s="9">
        <v>1</v>
      </c>
      <c r="G158" s="12">
        <f>493.596708*E158*F158</f>
        <v>493.596708</v>
      </c>
      <c r="H158" s="12">
        <f>4022.10072*E158*F158</f>
        <v>4022.10072</v>
      </c>
      <c r="I158" s="12">
        <f t="shared" si="19"/>
        <v>0</v>
      </c>
      <c r="J158" s="12">
        <f>494.583901416*E158*F158</f>
        <v>494.583901416</v>
      </c>
      <c r="K158" s="12">
        <f>876.7992326478*E158*F158</f>
        <v>876.7992326478</v>
      </c>
      <c r="L158" s="12">
        <f t="shared" si="20"/>
        <v>0</v>
      </c>
      <c r="M158" s="29">
        <f t="shared" si="24"/>
        <v>5887.080562063799</v>
      </c>
      <c r="N158" s="14">
        <f t="shared" si="21"/>
        <v>5887.080562063799</v>
      </c>
    </row>
    <row r="159" spans="2:14" ht="40.5" customHeight="1" thickBot="1" thickTop="1">
      <c r="B159" s="7">
        <v>154</v>
      </c>
      <c r="C159" s="5" t="s">
        <v>244</v>
      </c>
      <c r="D159" s="5" t="s">
        <v>241</v>
      </c>
      <c r="E159" s="9">
        <v>1</v>
      </c>
      <c r="F159" s="9">
        <v>1</v>
      </c>
      <c r="G159" s="12">
        <f>902.786544*E159*F159</f>
        <v>902.786544</v>
      </c>
      <c r="H159" s="12">
        <f>7646.80536*E159*F159</f>
        <v>7646.80536</v>
      </c>
      <c r="I159" s="12">
        <f t="shared" si="19"/>
        <v>0</v>
      </c>
      <c r="J159" s="12">
        <f>904.592117088*E159*F159</f>
        <v>904.592117088</v>
      </c>
      <c r="K159" s="12">
        <f>1654.4822036904*E159*F159</f>
        <v>1654.4822036904</v>
      </c>
      <c r="L159" s="12">
        <f t="shared" si="20"/>
        <v>0</v>
      </c>
      <c r="M159" s="29">
        <f t="shared" si="24"/>
        <v>11108.6662247784</v>
      </c>
      <c r="N159" s="14">
        <f t="shared" si="21"/>
        <v>11108.6662247784</v>
      </c>
    </row>
    <row r="160" spans="2:14" ht="40.5" customHeight="1" thickBot="1" thickTop="1">
      <c r="B160" s="7">
        <v>155</v>
      </c>
      <c r="C160" s="5" t="s">
        <v>245</v>
      </c>
      <c r="D160" s="5" t="s">
        <v>246</v>
      </c>
      <c r="E160" s="9">
        <v>1</v>
      </c>
      <c r="F160" s="9">
        <v>1</v>
      </c>
      <c r="G160" s="12">
        <f>2293.665*E160*F160</f>
        <v>2293.665</v>
      </c>
      <c r="H160" s="12">
        <f>6008.646872952*E160*F160</f>
        <v>6008.646872952</v>
      </c>
      <c r="I160" s="12">
        <f t="shared" si="19"/>
        <v>0</v>
      </c>
      <c r="J160" s="12">
        <f>2298.25233*E160*F160</f>
        <v>2298.25233</v>
      </c>
      <c r="K160" s="12">
        <f>1855.0987355166*E160*F160</f>
        <v>1855.0987355166</v>
      </c>
      <c r="L160" s="12">
        <f t="shared" si="20"/>
        <v>0</v>
      </c>
      <c r="M160" s="29">
        <f t="shared" si="24"/>
        <v>12455.662938468598</v>
      </c>
      <c r="N160" s="14">
        <f t="shared" si="21"/>
        <v>12455.662938468598</v>
      </c>
    </row>
    <row r="161" spans="2:14" ht="40.5" customHeight="1" thickBot="1" thickTop="1">
      <c r="B161" s="7">
        <v>156</v>
      </c>
      <c r="C161" s="5" t="s">
        <v>247</v>
      </c>
      <c r="D161" s="5" t="s">
        <v>248</v>
      </c>
      <c r="E161" s="9">
        <v>1</v>
      </c>
      <c r="F161" s="9">
        <v>1</v>
      </c>
      <c r="G161" s="12">
        <f>130981.62*E161*F161</f>
        <v>130981.62</v>
      </c>
      <c r="H161" s="12">
        <f>13732.413228378*E161*F161</f>
        <v>13732.413228378</v>
      </c>
      <c r="I161" s="12">
        <f t="shared" si="19"/>
        <v>0</v>
      </c>
      <c r="J161" s="12">
        <f>131243.58324*E161*F161</f>
        <v>131243.58324</v>
      </c>
      <c r="K161" s="12">
        <f>48292.582881966*E161*F161</f>
        <v>48292.582881966</v>
      </c>
      <c r="L161" s="12">
        <f t="shared" si="20"/>
        <v>0</v>
      </c>
      <c r="M161" s="29">
        <f aca="true" t="shared" si="25" ref="M161:M176">N161/F161/E161/100</f>
        <v>3242.50199350344</v>
      </c>
      <c r="N161" s="14">
        <f t="shared" si="21"/>
        <v>324250.199350344</v>
      </c>
    </row>
    <row r="162" spans="2:14" ht="40.5" customHeight="1" thickBot="1" thickTop="1">
      <c r="B162" s="7">
        <v>157</v>
      </c>
      <c r="C162" s="5" t="s">
        <v>249</v>
      </c>
      <c r="D162" s="5" t="s">
        <v>248</v>
      </c>
      <c r="E162" s="9">
        <v>1</v>
      </c>
      <c r="F162" s="9">
        <v>1</v>
      </c>
      <c r="G162" s="12">
        <f>168404.94*E162*F162</f>
        <v>168404.94</v>
      </c>
      <c r="H162" s="12">
        <f>15321.769384986*E162*F162</f>
        <v>15321.769384986</v>
      </c>
      <c r="I162" s="12">
        <f t="shared" si="19"/>
        <v>0</v>
      </c>
      <c r="J162" s="12">
        <f>168741.74988*E162*F162</f>
        <v>168741.74988</v>
      </c>
      <c r="K162" s="12">
        <f>61681.980371372*E162*F162</f>
        <v>61681.980371372</v>
      </c>
      <c r="L162" s="12">
        <f t="shared" si="20"/>
        <v>0</v>
      </c>
      <c r="M162" s="29">
        <f t="shared" si="25"/>
        <v>4141.50439636358</v>
      </c>
      <c r="N162" s="14">
        <f t="shared" si="21"/>
        <v>414150.439636358</v>
      </c>
    </row>
    <row r="163" spans="2:14" ht="40.5" customHeight="1" thickBot="1" thickTop="1">
      <c r="B163" s="7">
        <v>158</v>
      </c>
      <c r="C163" s="5" t="s">
        <v>250</v>
      </c>
      <c r="D163" s="5" t="s">
        <v>248</v>
      </c>
      <c r="E163" s="9">
        <v>1</v>
      </c>
      <c r="F163" s="9">
        <v>1</v>
      </c>
      <c r="G163" s="12">
        <f>188987.766*E163*F163</f>
        <v>188987.766</v>
      </c>
      <c r="H163" s="12">
        <f>15598.105563834*E163*F163</f>
        <v>15598.105563834</v>
      </c>
      <c r="I163" s="12">
        <f t="shared" si="19"/>
        <v>0</v>
      </c>
      <c r="J163" s="12">
        <f>189365.741532*E163*F163</f>
        <v>189365.741532</v>
      </c>
      <c r="K163" s="12">
        <f>68941.532291771*E163*F163</f>
        <v>68941.532291771</v>
      </c>
      <c r="L163" s="12">
        <f t="shared" si="20"/>
        <v>0</v>
      </c>
      <c r="M163" s="29">
        <f t="shared" si="25"/>
        <v>4628.931453876049</v>
      </c>
      <c r="N163" s="14">
        <f t="shared" si="21"/>
        <v>462893.14538760495</v>
      </c>
    </row>
    <row r="164" spans="2:14" ht="40.5" customHeight="1" thickBot="1" thickTop="1">
      <c r="B164" s="7">
        <v>159</v>
      </c>
      <c r="C164" s="5" t="s">
        <v>251</v>
      </c>
      <c r="D164" s="5" t="s">
        <v>154</v>
      </c>
      <c r="E164" s="9">
        <v>1</v>
      </c>
      <c r="F164" s="9">
        <v>1</v>
      </c>
      <c r="G164" s="12">
        <f>24706.808*E164*F164</f>
        <v>24706.808</v>
      </c>
      <c r="H164" s="12">
        <f>396216.14171357*E164*F164</f>
        <v>396216.14171357</v>
      </c>
      <c r="I164" s="12">
        <f aca="true" t="shared" si="26" ref="I164:I195">0*E164*F164</f>
        <v>0</v>
      </c>
      <c r="J164" s="12">
        <f>24756.221616*E164*F164</f>
        <v>24756.221616</v>
      </c>
      <c r="K164" s="12">
        <f>77993.854982674*E164*F164</f>
        <v>77993.854982674</v>
      </c>
      <c r="L164" s="12">
        <f t="shared" si="20"/>
        <v>0</v>
      </c>
      <c r="M164" s="29">
        <f t="shared" si="25"/>
        <v>5236.73026312244</v>
      </c>
      <c r="N164" s="14">
        <f t="shared" si="21"/>
        <v>523673.026312244</v>
      </c>
    </row>
    <row r="165" spans="2:14" ht="40.5" customHeight="1" thickBot="1" thickTop="1">
      <c r="B165" s="7">
        <v>160</v>
      </c>
      <c r="C165" s="5" t="s">
        <v>252</v>
      </c>
      <c r="D165" s="5" t="s">
        <v>154</v>
      </c>
      <c r="E165" s="9">
        <v>1</v>
      </c>
      <c r="F165" s="9">
        <v>1</v>
      </c>
      <c r="G165" s="12">
        <f>28677.545*E165*F165</f>
        <v>28677.545</v>
      </c>
      <c r="H165" s="12">
        <f>787233.5121384*E165*F165</f>
        <v>787233.5121384</v>
      </c>
      <c r="I165" s="12">
        <f t="shared" si="26"/>
        <v>0</v>
      </c>
      <c r="J165" s="12">
        <f>28734.90009*E165*F165</f>
        <v>28734.90009</v>
      </c>
      <c r="K165" s="12">
        <f>147813.04251497*E165*F165</f>
        <v>147813.04251497</v>
      </c>
      <c r="L165" s="12">
        <f t="shared" si="20"/>
        <v>0</v>
      </c>
      <c r="M165" s="29">
        <f t="shared" si="25"/>
        <v>9924.5899974337</v>
      </c>
      <c r="N165" s="14">
        <f t="shared" si="21"/>
        <v>992458.9997433701</v>
      </c>
    </row>
    <row r="166" spans="2:14" ht="40.5" customHeight="1" thickBot="1" thickTop="1">
      <c r="B166" s="7">
        <v>161</v>
      </c>
      <c r="C166" s="5" t="s">
        <v>253</v>
      </c>
      <c r="D166" s="5" t="s">
        <v>154</v>
      </c>
      <c r="E166" s="9">
        <v>1</v>
      </c>
      <c r="F166" s="9">
        <v>1</v>
      </c>
      <c r="G166" s="12">
        <f>32648.282*E166*F166</f>
        <v>32648.282</v>
      </c>
      <c r="H166" s="12">
        <f>1425181.3227547*E166*F166</f>
        <v>1425181.3227547</v>
      </c>
      <c r="I166" s="12">
        <f t="shared" si="26"/>
        <v>0</v>
      </c>
      <c r="J166" s="12">
        <f>32713.578564*E166*F166</f>
        <v>32713.578564</v>
      </c>
      <c r="K166" s="12">
        <f>260845.05708078*E166*F166</f>
        <v>260845.05708078</v>
      </c>
      <c r="L166" s="12">
        <f t="shared" si="20"/>
        <v>0</v>
      </c>
      <c r="M166" s="29">
        <f t="shared" si="25"/>
        <v>17513.882403994798</v>
      </c>
      <c r="N166" s="14">
        <f t="shared" si="21"/>
        <v>1751388.2403994799</v>
      </c>
    </row>
    <row r="167" spans="2:14" ht="40.5" customHeight="1" thickBot="1" thickTop="1">
      <c r="B167" s="7">
        <v>162</v>
      </c>
      <c r="C167" s="5" t="s">
        <v>254</v>
      </c>
      <c r="D167" s="5" t="s">
        <v>154</v>
      </c>
      <c r="E167" s="9">
        <v>1</v>
      </c>
      <c r="F167" s="9">
        <v>1</v>
      </c>
      <c r="G167" s="12">
        <f>36177.826*E167*F167</f>
        <v>36177.826</v>
      </c>
      <c r="H167" s="12">
        <f>13420.251953568*E167*F167</f>
        <v>13420.251953568</v>
      </c>
      <c r="I167" s="12">
        <f t="shared" si="26"/>
        <v>0</v>
      </c>
      <c r="J167" s="12">
        <f>36250.181652*E167*F167</f>
        <v>36250.181652</v>
      </c>
      <c r="K167" s="12">
        <f>15023.445430974*E167*F167</f>
        <v>15023.445430974</v>
      </c>
      <c r="L167" s="12">
        <f t="shared" si="20"/>
        <v>0</v>
      </c>
      <c r="M167" s="29">
        <f t="shared" si="25"/>
        <v>1008.71705036542</v>
      </c>
      <c r="N167" s="14">
        <f t="shared" si="21"/>
        <v>100871.705036542</v>
      </c>
    </row>
    <row r="168" spans="2:14" ht="40.5" customHeight="1" thickBot="1" thickTop="1">
      <c r="B168" s="7">
        <v>163</v>
      </c>
      <c r="C168" s="5" t="s">
        <v>255</v>
      </c>
      <c r="D168" s="5" t="s">
        <v>154</v>
      </c>
      <c r="E168" s="9">
        <v>1</v>
      </c>
      <c r="F168" s="9">
        <v>1</v>
      </c>
      <c r="G168" s="12">
        <f>47648.844*E168*F168</f>
        <v>47648.844</v>
      </c>
      <c r="H168" s="12">
        <f>39798.62063856*E168*F168</f>
        <v>39798.62063856</v>
      </c>
      <c r="I168" s="12">
        <f t="shared" si="26"/>
        <v>0</v>
      </c>
      <c r="J168" s="12">
        <f>47744.141688*E168*F168</f>
        <v>47744.141688</v>
      </c>
      <c r="K168" s="12">
        <f>23658.531107148*E168*F168</f>
        <v>23658.531107148</v>
      </c>
      <c r="L168" s="12">
        <f t="shared" si="20"/>
        <v>0</v>
      </c>
      <c r="M168" s="29">
        <f t="shared" si="25"/>
        <v>1588.50137433708</v>
      </c>
      <c r="N168" s="14">
        <f t="shared" si="21"/>
        <v>158850.137433708</v>
      </c>
    </row>
    <row r="169" spans="2:14" ht="40.5" customHeight="1" thickBot="1" thickTop="1">
      <c r="B169" s="7">
        <v>164</v>
      </c>
      <c r="C169" s="5" t="s">
        <v>256</v>
      </c>
      <c r="D169" s="5" t="s">
        <v>257</v>
      </c>
      <c r="E169" s="9">
        <v>1</v>
      </c>
      <c r="F169" s="9">
        <v>1</v>
      </c>
      <c r="G169" s="12">
        <f>6529.6564*E169*F169</f>
        <v>6529.6564</v>
      </c>
      <c r="H169" s="12">
        <f>12291.202916352*E169*F169</f>
        <v>12291.202916352</v>
      </c>
      <c r="I169" s="12">
        <f t="shared" si="26"/>
        <v>0</v>
      </c>
      <c r="J169" s="12">
        <f>6542.7157128*E169*F169</f>
        <v>6542.7157128</v>
      </c>
      <c r="K169" s="12">
        <f>4438.6256301016*E169*F169</f>
        <v>4438.6256301016</v>
      </c>
      <c r="L169" s="12">
        <f t="shared" si="20"/>
        <v>0</v>
      </c>
      <c r="M169" s="29">
        <f t="shared" si="25"/>
        <v>298.022006592536</v>
      </c>
      <c r="N169" s="14">
        <f t="shared" si="21"/>
        <v>29802.200659253598</v>
      </c>
    </row>
    <row r="170" spans="2:14" ht="40.5" customHeight="1" thickBot="1" thickTop="1">
      <c r="B170" s="7">
        <v>165</v>
      </c>
      <c r="C170" s="5" t="s">
        <v>258</v>
      </c>
      <c r="D170" s="5" t="s">
        <v>257</v>
      </c>
      <c r="E170" s="9">
        <v>1</v>
      </c>
      <c r="F170" s="9">
        <v>1</v>
      </c>
      <c r="G170" s="12">
        <f>6794.3722*E170*F170</f>
        <v>6794.3722</v>
      </c>
      <c r="H170" s="12">
        <f>19781.314792704*E170*F170</f>
        <v>19781.314792704</v>
      </c>
      <c r="I170" s="12">
        <f t="shared" si="26"/>
        <v>0</v>
      </c>
      <c r="J170" s="12">
        <f>6807.9609444*E170*F170</f>
        <v>6807.9609444</v>
      </c>
      <c r="K170" s="12">
        <f>5842.1383889932*E170*F170</f>
        <v>5842.1383889932</v>
      </c>
      <c r="L170" s="12">
        <f t="shared" si="20"/>
        <v>0</v>
      </c>
      <c r="M170" s="29">
        <f t="shared" si="25"/>
        <v>392.2578632609721</v>
      </c>
      <c r="N170" s="14">
        <f t="shared" si="21"/>
        <v>39225.78632609721</v>
      </c>
    </row>
    <row r="171" spans="2:14" ht="40.5" customHeight="1" thickBot="1" thickTop="1">
      <c r="B171" s="7">
        <v>166</v>
      </c>
      <c r="C171" s="5" t="s">
        <v>259</v>
      </c>
      <c r="D171" s="5" t="s">
        <v>257</v>
      </c>
      <c r="E171" s="9">
        <v>1</v>
      </c>
      <c r="F171" s="9">
        <v>1</v>
      </c>
      <c r="G171" s="12">
        <f>7323.8038*E171*F171</f>
        <v>7323.8038</v>
      </c>
      <c r="H171" s="12">
        <f>84322.066669056*E171*F171</f>
        <v>84322.066669056</v>
      </c>
      <c r="I171" s="12">
        <f t="shared" si="26"/>
        <v>0</v>
      </c>
      <c r="J171" s="12">
        <f>7338.4514076*E171*F171</f>
        <v>7338.4514076</v>
      </c>
      <c r="K171" s="12">
        <f>17322.256328415*E171*F171</f>
        <v>17322.256328415</v>
      </c>
      <c r="L171" s="12">
        <f t="shared" si="20"/>
        <v>0</v>
      </c>
      <c r="M171" s="29">
        <f t="shared" si="25"/>
        <v>1163.06578205071</v>
      </c>
      <c r="N171" s="14">
        <f t="shared" si="21"/>
        <v>116306.578205071</v>
      </c>
    </row>
    <row r="172" spans="2:14" ht="40.5" customHeight="1" thickBot="1" thickTop="1">
      <c r="B172" s="7">
        <v>167</v>
      </c>
      <c r="C172" s="5" t="s">
        <v>260</v>
      </c>
      <c r="D172" s="5" t="s">
        <v>261</v>
      </c>
      <c r="E172" s="9">
        <v>1</v>
      </c>
      <c r="F172" s="9">
        <v>1</v>
      </c>
      <c r="G172" s="12">
        <f>1440.4*E172*F172</f>
        <v>1440.4</v>
      </c>
      <c r="H172" s="12">
        <f>17990.593669008*E172*F172</f>
        <v>17990.593669008</v>
      </c>
      <c r="I172" s="12">
        <f t="shared" si="26"/>
        <v>0</v>
      </c>
      <c r="J172" s="12">
        <f>1443.2808*E172*F172</f>
        <v>1443.2808</v>
      </c>
      <c r="K172" s="12">
        <f>3652.9980320764*E172*F172</f>
        <v>3652.9980320764</v>
      </c>
      <c r="L172" s="12">
        <f t="shared" si="20"/>
        <v>0</v>
      </c>
      <c r="M172" s="29">
        <f t="shared" si="25"/>
        <v>245.27272501084406</v>
      </c>
      <c r="N172" s="14">
        <f t="shared" si="21"/>
        <v>24527.272501084404</v>
      </c>
    </row>
    <row r="173" spans="2:14" ht="40.5" customHeight="1" thickBot="1" thickTop="1">
      <c r="B173" s="7">
        <v>168</v>
      </c>
      <c r="C173" s="5" t="s">
        <v>262</v>
      </c>
      <c r="D173" s="5" t="s">
        <v>261</v>
      </c>
      <c r="E173" s="9">
        <v>1</v>
      </c>
      <c r="F173" s="9">
        <v>1</v>
      </c>
      <c r="G173" s="12">
        <f>1440.4*E173*F173</f>
        <v>1440.4</v>
      </c>
      <c r="H173" s="12">
        <f>23137.687002096*E173*F173</f>
        <v>23137.687002096</v>
      </c>
      <c r="I173" s="12">
        <f t="shared" si="26"/>
        <v>0</v>
      </c>
      <c r="J173" s="12">
        <f>1443.2808*E173*F173</f>
        <v>1443.2808</v>
      </c>
      <c r="K173" s="12">
        <f>4553.7393653668*E173*F173</f>
        <v>4553.7393653668</v>
      </c>
      <c r="L173" s="12">
        <f t="shared" si="20"/>
        <v>0</v>
      </c>
      <c r="M173" s="29">
        <f t="shared" si="25"/>
        <v>305.75107167462807</v>
      </c>
      <c r="N173" s="14">
        <f t="shared" si="21"/>
        <v>30575.107167462804</v>
      </c>
    </row>
    <row r="174" spans="2:14" ht="40.5" customHeight="1" thickBot="1" thickTop="1">
      <c r="B174" s="7">
        <v>169</v>
      </c>
      <c r="C174" s="5" t="s">
        <v>263</v>
      </c>
      <c r="D174" s="5" t="s">
        <v>261</v>
      </c>
      <c r="E174" s="9">
        <v>1</v>
      </c>
      <c r="F174" s="9">
        <v>1</v>
      </c>
      <c r="G174" s="12">
        <f>1440.4*E174*F174</f>
        <v>1440.4</v>
      </c>
      <c r="H174" s="12">
        <f>35005.186503144*E174*F174</f>
        <v>35005.186503144</v>
      </c>
      <c r="I174" s="12">
        <f t="shared" si="26"/>
        <v>0</v>
      </c>
      <c r="J174" s="12">
        <f>1443.2808*E174*F174</f>
        <v>1443.2808</v>
      </c>
      <c r="K174" s="12">
        <f>6630.5517780502*E174*F174</f>
        <v>6630.5517780502</v>
      </c>
      <c r="L174" s="12">
        <f t="shared" si="20"/>
        <v>0</v>
      </c>
      <c r="M174" s="29">
        <f t="shared" si="25"/>
        <v>445.194190811942</v>
      </c>
      <c r="N174" s="14">
        <f t="shared" si="21"/>
        <v>44519.4190811942</v>
      </c>
    </row>
    <row r="175" spans="2:14" ht="40.5" customHeight="1" thickBot="1" thickTop="1">
      <c r="B175" s="7">
        <v>170</v>
      </c>
      <c r="C175" s="5" t="s">
        <v>264</v>
      </c>
      <c r="D175" s="5" t="s">
        <v>257</v>
      </c>
      <c r="E175" s="9">
        <v>1</v>
      </c>
      <c r="F175" s="9">
        <v>1</v>
      </c>
      <c r="G175" s="12">
        <f>10472.176*E175*F175</f>
        <v>10472.176</v>
      </c>
      <c r="H175" s="12">
        <f>37352.73962736*E175*F175</f>
        <v>37352.73962736</v>
      </c>
      <c r="I175" s="12">
        <f t="shared" si="26"/>
        <v>0</v>
      </c>
      <c r="J175" s="12">
        <f>10493.120352*E175*F175</f>
        <v>10493.120352</v>
      </c>
      <c r="K175" s="12">
        <f>10205.656296388*E175*F175</f>
        <v>10205.656296388</v>
      </c>
      <c r="L175" s="12">
        <f t="shared" si="20"/>
        <v>0</v>
      </c>
      <c r="M175" s="29">
        <f t="shared" si="25"/>
        <v>685.2369227574801</v>
      </c>
      <c r="N175" s="14">
        <f t="shared" si="21"/>
        <v>68523.692275748</v>
      </c>
    </row>
    <row r="176" spans="2:14" ht="40.5" customHeight="1" thickBot="1" thickTop="1">
      <c r="B176" s="7">
        <v>171</v>
      </c>
      <c r="C176" s="5" t="s">
        <v>265</v>
      </c>
      <c r="D176" s="5" t="s">
        <v>257</v>
      </c>
      <c r="E176" s="9">
        <v>1</v>
      </c>
      <c r="F176" s="9">
        <v>1</v>
      </c>
      <c r="G176" s="12">
        <f>12185.8048*E176*F176</f>
        <v>12185.8048</v>
      </c>
      <c r="H176" s="12">
        <f>39648.96362736*E176*F176</f>
        <v>39648.96362736</v>
      </c>
      <c r="I176" s="12">
        <f t="shared" si="26"/>
        <v>0</v>
      </c>
      <c r="J176" s="12">
        <f>12210.1764096*E176*F176</f>
        <v>12210.1764096</v>
      </c>
      <c r="K176" s="12">
        <f>11207.865346468*E176*F176</f>
        <v>11207.865346468</v>
      </c>
      <c r="L176" s="12">
        <f t="shared" si="20"/>
        <v>0</v>
      </c>
      <c r="M176" s="29">
        <f t="shared" si="25"/>
        <v>752.5281018342799</v>
      </c>
      <c r="N176" s="14">
        <f t="shared" si="21"/>
        <v>75252.810183428</v>
      </c>
    </row>
    <row r="177" spans="2:14" ht="40.5" customHeight="1" thickBot="1" thickTop="1">
      <c r="B177" s="7">
        <v>172</v>
      </c>
      <c r="C177" s="5" t="s">
        <v>266</v>
      </c>
      <c r="D177" s="5" t="s">
        <v>267</v>
      </c>
      <c r="E177" s="9">
        <v>1</v>
      </c>
      <c r="F177" s="9">
        <v>1</v>
      </c>
      <c r="G177" s="12">
        <f>95.416464*E177*F177</f>
        <v>95.416464</v>
      </c>
      <c r="H177" s="12">
        <f>14008.97376*E177*F177</f>
        <v>14008.97376</v>
      </c>
      <c r="I177" s="12">
        <f t="shared" si="26"/>
        <v>0</v>
      </c>
      <c r="J177" s="12">
        <f>95.607296928*E177*F177</f>
        <v>95.607296928</v>
      </c>
      <c r="K177" s="12">
        <f>2484.9995661624*E177*F177</f>
        <v>2484.9995661624</v>
      </c>
      <c r="L177" s="12">
        <f t="shared" si="20"/>
        <v>0</v>
      </c>
      <c r="M177" s="29">
        <f aca="true" t="shared" si="27" ref="M177:M182">N177/F177/E177</f>
        <v>16684.9970870904</v>
      </c>
      <c r="N177" s="14">
        <f t="shared" si="21"/>
        <v>16684.9970870904</v>
      </c>
    </row>
    <row r="178" spans="2:14" ht="40.5" customHeight="1" thickBot="1" thickTop="1">
      <c r="B178" s="7">
        <v>173</v>
      </c>
      <c r="C178" s="5" t="s">
        <v>268</v>
      </c>
      <c r="D178" s="5" t="s">
        <v>267</v>
      </c>
      <c r="E178" s="9">
        <v>1</v>
      </c>
      <c r="F178" s="9">
        <v>1</v>
      </c>
      <c r="G178" s="12">
        <f>95.416464*E178*F178</f>
        <v>95.416464</v>
      </c>
      <c r="H178" s="12">
        <f>18165.49416*E178*F178</f>
        <v>18165.49416</v>
      </c>
      <c r="I178" s="12">
        <f t="shared" si="26"/>
        <v>0</v>
      </c>
      <c r="J178" s="12">
        <f>95.607296928*E178*F178</f>
        <v>95.607296928</v>
      </c>
      <c r="K178" s="12">
        <f>3212.3906361624*E178*F178</f>
        <v>3212.3906361624</v>
      </c>
      <c r="L178" s="12">
        <f t="shared" si="20"/>
        <v>0</v>
      </c>
      <c r="M178" s="29">
        <f t="shared" si="27"/>
        <v>21568.9085570904</v>
      </c>
      <c r="N178" s="14">
        <f t="shared" si="21"/>
        <v>21568.9085570904</v>
      </c>
    </row>
    <row r="179" spans="2:14" ht="40.5" customHeight="1" thickBot="1" thickTop="1">
      <c r="B179" s="7">
        <v>174</v>
      </c>
      <c r="C179" s="5" t="s">
        <v>269</v>
      </c>
      <c r="D179" s="5" t="s">
        <v>267</v>
      </c>
      <c r="E179" s="9">
        <v>1</v>
      </c>
      <c r="F179" s="9">
        <v>1</v>
      </c>
      <c r="G179" s="12">
        <f>95.416464*E179*F179</f>
        <v>95.416464</v>
      </c>
      <c r="H179" s="12">
        <f>20798.47728*E179*F179</f>
        <v>20798.47728</v>
      </c>
      <c r="I179" s="12">
        <f t="shared" si="26"/>
        <v>0</v>
      </c>
      <c r="J179" s="12">
        <f>95.607296928*E179*F179</f>
        <v>95.607296928</v>
      </c>
      <c r="K179" s="12">
        <f>3673.1626821624*E179*F179</f>
        <v>3673.1626821624</v>
      </c>
      <c r="L179" s="12">
        <f t="shared" si="20"/>
        <v>0</v>
      </c>
      <c r="M179" s="29">
        <f t="shared" si="27"/>
        <v>24662.6637230904</v>
      </c>
      <c r="N179" s="14">
        <f t="shared" si="21"/>
        <v>24662.6637230904</v>
      </c>
    </row>
    <row r="180" spans="2:14" ht="40.5" customHeight="1" thickBot="1" thickTop="1">
      <c r="B180" s="7">
        <v>175</v>
      </c>
      <c r="C180" s="5" t="s">
        <v>270</v>
      </c>
      <c r="D180" s="5" t="s">
        <v>267</v>
      </c>
      <c r="E180" s="9">
        <v>1</v>
      </c>
      <c r="F180" s="9">
        <v>1</v>
      </c>
      <c r="G180" s="12">
        <f>95.416464*E180*F180</f>
        <v>95.416464</v>
      </c>
      <c r="H180" s="12">
        <f>23404.2264*E180*F180</f>
        <v>23404.2264</v>
      </c>
      <c r="I180" s="12">
        <f t="shared" si="26"/>
        <v>0</v>
      </c>
      <c r="J180" s="12">
        <f>95.607296928*E180*F180</f>
        <v>95.607296928</v>
      </c>
      <c r="K180" s="12">
        <f>4129.1687781624*E180*F180</f>
        <v>4129.1687781624</v>
      </c>
      <c r="L180" s="12">
        <f t="shared" si="20"/>
        <v>0</v>
      </c>
      <c r="M180" s="29">
        <f t="shared" si="27"/>
        <v>27724.4189390904</v>
      </c>
      <c r="N180" s="14">
        <f t="shared" si="21"/>
        <v>27724.4189390904</v>
      </c>
    </row>
    <row r="181" spans="2:14" ht="40.5" customHeight="1" thickBot="1" thickTop="1">
      <c r="B181" s="7">
        <v>176</v>
      </c>
      <c r="C181" s="5" t="s">
        <v>271</v>
      </c>
      <c r="D181" s="5" t="s">
        <v>267</v>
      </c>
      <c r="E181" s="9">
        <v>1</v>
      </c>
      <c r="F181" s="9">
        <v>1</v>
      </c>
      <c r="G181" s="12">
        <f>2133.284472*E181*F181</f>
        <v>2133.284472</v>
      </c>
      <c r="H181" s="12">
        <f>76532.77872*E181*F181</f>
        <v>76532.77872</v>
      </c>
      <c r="I181" s="12">
        <f t="shared" si="26"/>
        <v>0</v>
      </c>
      <c r="J181" s="12">
        <f>2137.551040944*E181*F181</f>
        <v>2137.551040944</v>
      </c>
      <c r="K181" s="12">
        <f>14140.632490765*E181*F181</f>
        <v>14140.632490765</v>
      </c>
      <c r="L181" s="12">
        <f t="shared" si="20"/>
        <v>0</v>
      </c>
      <c r="M181" s="29">
        <f t="shared" si="27"/>
        <v>94944.246723709</v>
      </c>
      <c r="N181" s="14">
        <f t="shared" si="21"/>
        <v>94944.246723709</v>
      </c>
    </row>
    <row r="182" spans="2:14" ht="40.5" customHeight="1" thickBot="1" thickTop="1">
      <c r="B182" s="7">
        <v>177</v>
      </c>
      <c r="C182" s="5" t="s">
        <v>272</v>
      </c>
      <c r="D182" s="5" t="s">
        <v>267</v>
      </c>
      <c r="E182" s="9">
        <v>1</v>
      </c>
      <c r="F182" s="9">
        <v>1</v>
      </c>
      <c r="G182" s="12">
        <f>2920.557552*E182*F182</f>
        <v>2920.557552</v>
      </c>
      <c r="H182" s="12">
        <f>95382.37872*E182*F182</f>
        <v>95382.37872</v>
      </c>
      <c r="I182" s="12">
        <f t="shared" si="26"/>
        <v>0</v>
      </c>
      <c r="J182" s="12">
        <f>2926.398667104*E182*F182</f>
        <v>2926.398667104</v>
      </c>
      <c r="K182" s="12">
        <f>17715.133614343*E182*F182</f>
        <v>17715.133614343</v>
      </c>
      <c r="L182" s="12">
        <f t="shared" si="20"/>
        <v>0</v>
      </c>
      <c r="M182" s="29">
        <f t="shared" si="27"/>
        <v>118944.46855344699</v>
      </c>
      <c r="N182" s="14">
        <f t="shared" si="21"/>
        <v>118944.46855344699</v>
      </c>
    </row>
    <row r="183" spans="2:14" ht="40.5" customHeight="1" thickBot="1" thickTop="1">
      <c r="B183" s="7">
        <v>178</v>
      </c>
      <c r="C183" s="5" t="s">
        <v>273</v>
      </c>
      <c r="D183" s="5" t="s">
        <v>274</v>
      </c>
      <c r="E183" s="9">
        <v>1</v>
      </c>
      <c r="F183" s="9">
        <v>1</v>
      </c>
      <c r="G183" s="12">
        <f>6864.96308*E183*F183</f>
        <v>6864.96308</v>
      </c>
      <c r="H183" s="12">
        <f>10438.734606394*E183*F183</f>
        <v>10438.734606394</v>
      </c>
      <c r="I183" s="12">
        <f t="shared" si="26"/>
        <v>0</v>
      </c>
      <c r="J183" s="12">
        <f>6878.69300616*E183*F183</f>
        <v>6878.69300616</v>
      </c>
      <c r="K183" s="12">
        <f>4231.9183711969*E183*F183</f>
        <v>4231.9183711969</v>
      </c>
      <c r="L183" s="12">
        <f t="shared" si="20"/>
        <v>0</v>
      </c>
      <c r="M183" s="29">
        <f aca="true" t="shared" si="28" ref="M183:M205">N183/F183/E183/100</f>
        <v>284.14309063750903</v>
      </c>
      <c r="N183" s="14">
        <f t="shared" si="21"/>
        <v>28414.3090637509</v>
      </c>
    </row>
    <row r="184" spans="2:14" ht="40.5" customHeight="1" thickBot="1" thickTop="1">
      <c r="B184" s="7">
        <v>179</v>
      </c>
      <c r="C184" s="5" t="s">
        <v>275</v>
      </c>
      <c r="D184" s="5" t="s">
        <v>274</v>
      </c>
      <c r="E184" s="9">
        <v>1</v>
      </c>
      <c r="F184" s="9">
        <v>1</v>
      </c>
      <c r="G184" s="12">
        <f>7579.69574*E184*F184</f>
        <v>7579.69574</v>
      </c>
      <c r="H184" s="12">
        <f>13177.182462394*E184*F184</f>
        <v>13177.182462394</v>
      </c>
      <c r="I184" s="12">
        <f t="shared" si="26"/>
        <v>0</v>
      </c>
      <c r="J184" s="12">
        <f>7594.85513148*E184*F184</f>
        <v>7594.85513148</v>
      </c>
      <c r="K184" s="12">
        <f>4961.5533334279*E184*F184</f>
        <v>4961.5533334279</v>
      </c>
      <c r="L184" s="12">
        <f t="shared" si="20"/>
        <v>0</v>
      </c>
      <c r="M184" s="29">
        <f t="shared" si="28"/>
        <v>333.132866673019</v>
      </c>
      <c r="N184" s="14">
        <f t="shared" si="21"/>
        <v>33313.2866673019</v>
      </c>
    </row>
    <row r="185" spans="2:14" ht="40.5" customHeight="1" thickBot="1" thickTop="1">
      <c r="B185" s="7">
        <v>180</v>
      </c>
      <c r="C185" s="5" t="s">
        <v>276</v>
      </c>
      <c r="D185" s="5" t="s">
        <v>274</v>
      </c>
      <c r="E185" s="9">
        <v>1</v>
      </c>
      <c r="F185" s="9">
        <v>1</v>
      </c>
      <c r="G185" s="12">
        <f>8367.666438*E185*F185</f>
        <v>8367.666438</v>
      </c>
      <c r="H185" s="12">
        <f>18305.249190394*E185*F185</f>
        <v>18305.249190394</v>
      </c>
      <c r="I185" s="12">
        <f t="shared" si="26"/>
        <v>0</v>
      </c>
      <c r="J185" s="12">
        <f>8384.401770876*E185*F185</f>
        <v>8384.401770876</v>
      </c>
      <c r="K185" s="12">
        <f>6135.0305448722*E185*F185</f>
        <v>6135.0305448722</v>
      </c>
      <c r="L185" s="12">
        <f t="shared" si="20"/>
        <v>0</v>
      </c>
      <c r="M185" s="29">
        <f t="shared" si="28"/>
        <v>411.92347944142205</v>
      </c>
      <c r="N185" s="14">
        <f t="shared" si="21"/>
        <v>41192.3479441422</v>
      </c>
    </row>
    <row r="186" spans="2:14" ht="40.5" customHeight="1" thickBot="1" thickTop="1">
      <c r="B186" s="7">
        <v>181</v>
      </c>
      <c r="C186" s="5" t="s">
        <v>277</v>
      </c>
      <c r="D186" s="5" t="s">
        <v>274</v>
      </c>
      <c r="E186" s="9">
        <v>1</v>
      </c>
      <c r="F186" s="9">
        <v>1</v>
      </c>
      <c r="G186" s="12">
        <f>10191.5583*E186*F186</f>
        <v>10191.5583</v>
      </c>
      <c r="H186" s="12">
        <f>27478.609244618*E186*F186</f>
        <v>27478.609244618</v>
      </c>
      <c r="I186" s="12">
        <f t="shared" si="26"/>
        <v>0</v>
      </c>
      <c r="J186" s="12">
        <f>10211.9414166*E186*F186</f>
        <v>10211.9414166</v>
      </c>
      <c r="K186" s="12">
        <f>8379.3690682132*E186*F186</f>
        <v>8379.3690682132</v>
      </c>
      <c r="L186" s="12">
        <f t="shared" si="20"/>
        <v>0</v>
      </c>
      <c r="M186" s="29">
        <f t="shared" si="28"/>
        <v>562.614780294312</v>
      </c>
      <c r="N186" s="14">
        <f t="shared" si="21"/>
        <v>56261.4780294312</v>
      </c>
    </row>
    <row r="187" spans="2:14" ht="40.5" customHeight="1" thickBot="1" thickTop="1">
      <c r="B187" s="7">
        <v>182</v>
      </c>
      <c r="C187" s="5" t="s">
        <v>278</v>
      </c>
      <c r="D187" s="5" t="s">
        <v>274</v>
      </c>
      <c r="E187" s="9">
        <v>1</v>
      </c>
      <c r="F187" s="9">
        <v>1</v>
      </c>
      <c r="G187" s="12">
        <f>10712.16604*E187*F187</f>
        <v>10712.16604</v>
      </c>
      <c r="H187" s="12">
        <f>34145.200577902*E187*F187</f>
        <v>34145.200577902</v>
      </c>
      <c r="I187" s="12">
        <f t="shared" si="26"/>
        <v>0</v>
      </c>
      <c r="J187" s="12">
        <f>10733.59037208*E187*F187</f>
        <v>10733.59037208</v>
      </c>
      <c r="K187" s="12">
        <f>9728.4174732468*E187*F187</f>
        <v>9728.4174732468</v>
      </c>
      <c r="L187" s="12">
        <f t="shared" si="20"/>
        <v>0</v>
      </c>
      <c r="M187" s="29">
        <f t="shared" si="28"/>
        <v>653.1937446322879</v>
      </c>
      <c r="N187" s="14">
        <f t="shared" si="21"/>
        <v>65319.37446322879</v>
      </c>
    </row>
    <row r="188" spans="2:14" ht="40.5" customHeight="1" thickBot="1" thickTop="1">
      <c r="B188" s="7">
        <v>183</v>
      </c>
      <c r="C188" s="5" t="s">
        <v>279</v>
      </c>
      <c r="D188" s="5" t="s">
        <v>274</v>
      </c>
      <c r="E188" s="9">
        <v>1</v>
      </c>
      <c r="F188" s="9">
        <v>1</v>
      </c>
      <c r="G188" s="12">
        <f>11903.38714*E188*F188</f>
        <v>11903.38714</v>
      </c>
      <c r="H188" s="12">
        <f>38764.881783036*E188*F188</f>
        <v>38764.881783036</v>
      </c>
      <c r="I188" s="12">
        <f t="shared" si="26"/>
        <v>0</v>
      </c>
      <c r="J188" s="12">
        <f>11927.19391428*E188*F188</f>
        <v>11927.19391428</v>
      </c>
      <c r="K188" s="12">
        <f>10954.20599653*E188*F188</f>
        <v>10954.20599653</v>
      </c>
      <c r="L188" s="12">
        <f t="shared" si="20"/>
        <v>0</v>
      </c>
      <c r="M188" s="29">
        <f t="shared" si="28"/>
        <v>735.49668833846</v>
      </c>
      <c r="N188" s="14">
        <f t="shared" si="21"/>
        <v>73549.668833846</v>
      </c>
    </row>
    <row r="189" spans="2:14" ht="40.5" customHeight="1" thickBot="1" thickTop="1">
      <c r="B189" s="7">
        <v>184</v>
      </c>
      <c r="C189" s="5" t="s">
        <v>280</v>
      </c>
      <c r="D189" s="5" t="s">
        <v>274</v>
      </c>
      <c r="E189" s="9">
        <v>1</v>
      </c>
      <c r="F189" s="9">
        <v>1</v>
      </c>
      <c r="G189" s="12">
        <f>13985.8181*E189*F189</f>
        <v>13985.8181</v>
      </c>
      <c r="H189" s="12">
        <f>51046.688134742*E189*F189</f>
        <v>51046.688134742</v>
      </c>
      <c r="I189" s="12">
        <f t="shared" si="26"/>
        <v>0</v>
      </c>
      <c r="J189" s="12">
        <f>14013.7897362*E189*F189</f>
        <v>14013.7897362</v>
      </c>
      <c r="K189" s="12">
        <f>13833.101794915*E189*F189</f>
        <v>13833.101794915</v>
      </c>
      <c r="L189" s="12">
        <f t="shared" si="20"/>
        <v>0</v>
      </c>
      <c r="M189" s="29">
        <f t="shared" si="28"/>
        <v>928.79397765857</v>
      </c>
      <c r="N189" s="14">
        <f t="shared" si="21"/>
        <v>92879.39776585701</v>
      </c>
    </row>
    <row r="190" spans="2:14" ht="40.5" customHeight="1" thickBot="1" thickTop="1">
      <c r="B190" s="7">
        <v>185</v>
      </c>
      <c r="C190" s="5" t="s">
        <v>281</v>
      </c>
      <c r="D190" s="5" t="s">
        <v>274</v>
      </c>
      <c r="E190" s="9">
        <v>1</v>
      </c>
      <c r="F190" s="9">
        <v>1</v>
      </c>
      <c r="G190" s="12">
        <f>15424.10728*E190*F190</f>
        <v>15424.10728</v>
      </c>
      <c r="H190" s="12">
        <f>60027.996116578*E190*F190</f>
        <v>60027.996116578</v>
      </c>
      <c r="I190" s="12">
        <f t="shared" si="26"/>
        <v>0</v>
      </c>
      <c r="J190" s="12">
        <f>15454.95549456*E190*F190</f>
        <v>15454.95549456</v>
      </c>
      <c r="K190" s="12">
        <f>15908.735305949*E190*F190</f>
        <v>15908.735305949</v>
      </c>
      <c r="L190" s="12">
        <f t="shared" si="20"/>
        <v>0</v>
      </c>
      <c r="M190" s="29">
        <f t="shared" si="28"/>
        <v>1068.1579419708698</v>
      </c>
      <c r="N190" s="14">
        <f t="shared" si="21"/>
        <v>106815.79419708699</v>
      </c>
    </row>
    <row r="191" spans="2:14" ht="40.5" customHeight="1" thickBot="1" thickTop="1">
      <c r="B191" s="7">
        <v>186</v>
      </c>
      <c r="C191" s="5" t="s">
        <v>282</v>
      </c>
      <c r="D191" s="5" t="s">
        <v>274</v>
      </c>
      <c r="E191" s="9">
        <v>1</v>
      </c>
      <c r="F191" s="9">
        <v>1</v>
      </c>
      <c r="G191" s="12">
        <f>10712.16604*E191*F191</f>
        <v>10712.16604</v>
      </c>
      <c r="H191" s="12">
        <f>32248.747832472*E191*F191</f>
        <v>32248.747832472</v>
      </c>
      <c r="I191" s="12">
        <f t="shared" si="26"/>
        <v>0</v>
      </c>
      <c r="J191" s="12">
        <f>10733.59037208*E191*F191</f>
        <v>10733.59037208</v>
      </c>
      <c r="K191" s="12">
        <f>9396.5382427966*E191*F191</f>
        <v>9396.5382427966</v>
      </c>
      <c r="L191" s="12">
        <f t="shared" si="20"/>
        <v>0</v>
      </c>
      <c r="M191" s="29">
        <f t="shared" si="28"/>
        <v>630.9104248734859</v>
      </c>
      <c r="N191" s="14">
        <f t="shared" si="21"/>
        <v>63091.04248734859</v>
      </c>
    </row>
    <row r="192" spans="2:14" ht="40.5" customHeight="1" thickBot="1" thickTop="1">
      <c r="B192" s="7">
        <v>187</v>
      </c>
      <c r="C192" s="5" t="s">
        <v>279</v>
      </c>
      <c r="D192" s="5" t="s">
        <v>274</v>
      </c>
      <c r="E192" s="9">
        <v>1</v>
      </c>
      <c r="F192" s="9">
        <v>1</v>
      </c>
      <c r="G192" s="12">
        <f>11903.38714*E192*F192</f>
        <v>11903.38714</v>
      </c>
      <c r="H192" s="12">
        <f>35940.069026208*E192*F192</f>
        <v>35940.069026208</v>
      </c>
      <c r="I192" s="12">
        <f t="shared" si="26"/>
        <v>0</v>
      </c>
      <c r="J192" s="12">
        <f>11927.19391428*E192*F192</f>
        <v>11927.19391428</v>
      </c>
      <c r="K192" s="12">
        <f>10459.863764085*E192*F192</f>
        <v>10459.863764085</v>
      </c>
      <c r="L192" s="12">
        <f t="shared" si="20"/>
        <v>0</v>
      </c>
      <c r="M192" s="29">
        <f t="shared" si="28"/>
        <v>702.30513844573</v>
      </c>
      <c r="N192" s="14">
        <f t="shared" si="21"/>
        <v>70230.513844573</v>
      </c>
    </row>
    <row r="193" spans="2:14" ht="40.5" customHeight="1" thickBot="1" thickTop="1">
      <c r="B193" s="7">
        <v>188</v>
      </c>
      <c r="C193" s="5" t="s">
        <v>280</v>
      </c>
      <c r="D193" s="5" t="s">
        <v>274</v>
      </c>
      <c r="E193" s="9">
        <v>1</v>
      </c>
      <c r="F193" s="9">
        <v>1</v>
      </c>
      <c r="G193" s="12">
        <f>13985.8181*E193*F193</f>
        <v>13985.8181</v>
      </c>
      <c r="H193" s="12">
        <f>47245.766008392*E193*F193</f>
        <v>47245.766008392</v>
      </c>
      <c r="I193" s="12">
        <f t="shared" si="26"/>
        <v>0</v>
      </c>
      <c r="J193" s="12">
        <f>14013.7897362*E193*F193</f>
        <v>14013.7897362</v>
      </c>
      <c r="K193" s="12">
        <f>13167.940422804*E193*F193</f>
        <v>13167.940422804</v>
      </c>
      <c r="L193" s="12">
        <f t="shared" si="20"/>
        <v>0</v>
      </c>
      <c r="M193" s="29">
        <f t="shared" si="28"/>
        <v>884.1331426739599</v>
      </c>
      <c r="N193" s="14">
        <f t="shared" si="21"/>
        <v>88413.314267396</v>
      </c>
    </row>
    <row r="194" spans="2:14" ht="40.5" customHeight="1" thickBot="1" thickTop="1">
      <c r="B194" s="7">
        <v>189</v>
      </c>
      <c r="C194" s="5" t="s">
        <v>283</v>
      </c>
      <c r="D194" s="5" t="s">
        <v>274</v>
      </c>
      <c r="E194" s="9">
        <v>1</v>
      </c>
      <c r="F194" s="9">
        <v>1</v>
      </c>
      <c r="G194" s="12">
        <f>15424.10728*E194*F194</f>
        <v>15424.10728</v>
      </c>
      <c r="H194" s="12">
        <f>55567.584256824*E194*F194</f>
        <v>55567.584256824</v>
      </c>
      <c r="I194" s="12">
        <f t="shared" si="26"/>
        <v>0</v>
      </c>
      <c r="J194" s="12">
        <f>15454.95549456*E194*F194</f>
        <v>15454.95549456</v>
      </c>
      <c r="K194" s="12">
        <f>15128.163230492*E194*F194</f>
        <v>15128.163230492</v>
      </c>
      <c r="L194" s="12">
        <f t="shared" si="20"/>
        <v>0</v>
      </c>
      <c r="M194" s="29">
        <f t="shared" si="28"/>
        <v>1015.7481026187601</v>
      </c>
      <c r="N194" s="14">
        <f t="shared" si="21"/>
        <v>101574.810261876</v>
      </c>
    </row>
    <row r="195" spans="2:14" ht="40.5" customHeight="1" thickBot="1" thickTop="1">
      <c r="B195" s="7">
        <v>190</v>
      </c>
      <c r="C195" s="5" t="s">
        <v>284</v>
      </c>
      <c r="D195" s="5" t="s">
        <v>274</v>
      </c>
      <c r="E195" s="9">
        <v>1</v>
      </c>
      <c r="F195" s="9">
        <v>1</v>
      </c>
      <c r="G195" s="12">
        <f>10798.788*E195*F195</f>
        <v>10798.788</v>
      </c>
      <c r="H195" s="12">
        <f>26450.134080408*E195*F195</f>
        <v>26450.134080408</v>
      </c>
      <c r="I195" s="12">
        <f t="shared" si="26"/>
        <v>0</v>
      </c>
      <c r="J195" s="12">
        <f>10820.385576*E195*F195</f>
        <v>10820.385576</v>
      </c>
      <c r="K195" s="12">
        <f>8412.1288398714*E195*F195</f>
        <v>8412.1288398714</v>
      </c>
      <c r="L195" s="12">
        <f t="shared" si="20"/>
        <v>0</v>
      </c>
      <c r="M195" s="29">
        <f t="shared" si="28"/>
        <v>564.814364962794</v>
      </c>
      <c r="N195" s="14">
        <f t="shared" si="21"/>
        <v>56481.4364962794</v>
      </c>
    </row>
    <row r="196" spans="2:14" ht="40.5" customHeight="1" thickBot="1" thickTop="1">
      <c r="B196" s="7">
        <v>191</v>
      </c>
      <c r="C196" s="5" t="s">
        <v>285</v>
      </c>
      <c r="D196" s="5" t="s">
        <v>274</v>
      </c>
      <c r="E196" s="9">
        <v>1</v>
      </c>
      <c r="F196" s="9">
        <v>1</v>
      </c>
      <c r="G196" s="12">
        <f>11629.464*E196*F196</f>
        <v>11629.464</v>
      </c>
      <c r="H196" s="12">
        <f>33198.835560408*E196*F196</f>
        <v>33198.835560408</v>
      </c>
      <c r="I196" s="12">
        <f aca="true" t="shared" si="29" ref="I196:I227">0*E196*F196</f>
        <v>0</v>
      </c>
      <c r="J196" s="12">
        <f>11652.722928*E196*F196</f>
        <v>11652.722928</v>
      </c>
      <c r="K196" s="12">
        <f>9884.1789354714*E196*F196</f>
        <v>9884.1789354714</v>
      </c>
      <c r="L196" s="12">
        <f aca="true" t="shared" si="30" ref="L196:L259">0*E196*F196</f>
        <v>0</v>
      </c>
      <c r="M196" s="29">
        <f t="shared" si="28"/>
        <v>663.652014238794</v>
      </c>
      <c r="N196" s="14">
        <f aca="true" t="shared" si="31" ref="N196:N259">SUM(G196:L196)</f>
        <v>66365.20142387939</v>
      </c>
    </row>
    <row r="197" spans="2:14" ht="40.5" customHeight="1" thickBot="1" thickTop="1">
      <c r="B197" s="7">
        <v>192</v>
      </c>
      <c r="C197" s="5" t="s">
        <v>286</v>
      </c>
      <c r="D197" s="5" t="s">
        <v>274</v>
      </c>
      <c r="E197" s="9">
        <v>1</v>
      </c>
      <c r="F197" s="9">
        <v>1</v>
      </c>
      <c r="G197" s="12">
        <f>17217.2553168*E197*F197</f>
        <v>17217.2553168</v>
      </c>
      <c r="H197" s="12">
        <f>40736.606071392*E197*F197</f>
        <v>40736.606071392</v>
      </c>
      <c r="I197" s="12">
        <f t="shared" si="29"/>
        <v>0</v>
      </c>
      <c r="J197" s="12">
        <f>17251.689827434*E197*F197</f>
        <v>17251.689827434</v>
      </c>
      <c r="K197" s="12">
        <f>13160.971462734*E197*F197</f>
        <v>13160.971462734</v>
      </c>
      <c r="L197" s="12">
        <f t="shared" si="30"/>
        <v>0</v>
      </c>
      <c r="M197" s="29">
        <f t="shared" si="28"/>
        <v>883.6652267836001</v>
      </c>
      <c r="N197" s="14">
        <f t="shared" si="31"/>
        <v>88366.52267836001</v>
      </c>
    </row>
    <row r="198" spans="2:14" ht="40.5" customHeight="1" thickBot="1" thickTop="1">
      <c r="B198" s="7">
        <v>193</v>
      </c>
      <c r="C198" s="5" t="s">
        <v>287</v>
      </c>
      <c r="D198" s="5" t="s">
        <v>274</v>
      </c>
      <c r="E198" s="9">
        <v>1</v>
      </c>
      <c r="F198" s="9">
        <v>1</v>
      </c>
      <c r="G198" s="12">
        <f>19705.9606128*E198*F198</f>
        <v>19705.9606128</v>
      </c>
      <c r="H198" s="12">
        <f>47574.665326224*E198*F198</f>
        <v>47574.665326224</v>
      </c>
      <c r="I198" s="12">
        <f t="shared" si="29"/>
        <v>0</v>
      </c>
      <c r="J198" s="12">
        <f>19745.372534026*E198*F198</f>
        <v>19745.372534026</v>
      </c>
      <c r="K198" s="12">
        <f>15229.549732784*E198*F198</f>
        <v>15229.549732784</v>
      </c>
      <c r="L198" s="12">
        <f t="shared" si="30"/>
        <v>0</v>
      </c>
      <c r="M198" s="29">
        <f t="shared" si="28"/>
        <v>1022.55548205834</v>
      </c>
      <c r="N198" s="14">
        <f t="shared" si="31"/>
        <v>102255.548205834</v>
      </c>
    </row>
    <row r="199" spans="2:14" ht="40.5" customHeight="1" thickBot="1" thickTop="1">
      <c r="B199" s="7">
        <v>194</v>
      </c>
      <c r="C199" s="5" t="s">
        <v>288</v>
      </c>
      <c r="D199" s="5" t="s">
        <v>274</v>
      </c>
      <c r="E199" s="9">
        <v>1</v>
      </c>
      <c r="F199" s="9">
        <v>1</v>
      </c>
      <c r="G199" s="12">
        <f>13947.0344*E199*F199</f>
        <v>13947.0344</v>
      </c>
      <c r="H199" s="12">
        <f>51557.4899352*E199*F199</f>
        <v>51557.4899352</v>
      </c>
      <c r="I199" s="12">
        <f t="shared" si="29"/>
        <v>0</v>
      </c>
      <c r="J199" s="12">
        <f>13974.9284688*E199*F199</f>
        <v>13974.9284688</v>
      </c>
      <c r="K199" s="12">
        <f>13908.9042407*E199*F199</f>
        <v>13908.9042407</v>
      </c>
      <c r="L199" s="12">
        <f t="shared" si="30"/>
        <v>0</v>
      </c>
      <c r="M199" s="29">
        <f t="shared" si="28"/>
        <v>933.8835704469999</v>
      </c>
      <c r="N199" s="14">
        <f t="shared" si="31"/>
        <v>93388.3570447</v>
      </c>
    </row>
    <row r="200" spans="2:14" ht="40.5" customHeight="1" thickBot="1" thickTop="1">
      <c r="B200" s="7">
        <v>195</v>
      </c>
      <c r="C200" s="5" t="s">
        <v>289</v>
      </c>
      <c r="D200" s="5" t="s">
        <v>274</v>
      </c>
      <c r="E200" s="9">
        <v>1</v>
      </c>
      <c r="F200" s="9">
        <v>1</v>
      </c>
      <c r="G200" s="12">
        <f>13975.59488*E200*F200</f>
        <v>13975.59488</v>
      </c>
      <c r="H200" s="12">
        <f>73255.6500552*E200*F200</f>
        <v>73255.6500552</v>
      </c>
      <c r="I200" s="12">
        <f t="shared" si="29"/>
        <v>0</v>
      </c>
      <c r="J200" s="12">
        <f>14003.54606976*E200*F200</f>
        <v>14003.54606976</v>
      </c>
      <c r="K200" s="12">
        <f>17716.088425868*E200*F200</f>
        <v>17716.088425868</v>
      </c>
      <c r="L200" s="12">
        <f t="shared" si="30"/>
        <v>0</v>
      </c>
      <c r="M200" s="29">
        <f t="shared" si="28"/>
        <v>1189.5087943082801</v>
      </c>
      <c r="N200" s="14">
        <f t="shared" si="31"/>
        <v>118950.87943082802</v>
      </c>
    </row>
    <row r="201" spans="2:14" ht="40.5" customHeight="1" thickBot="1" thickTop="1">
      <c r="B201" s="7">
        <v>196</v>
      </c>
      <c r="C201" s="5" t="s">
        <v>290</v>
      </c>
      <c r="D201" s="5" t="s">
        <v>202</v>
      </c>
      <c r="E201" s="9">
        <v>1</v>
      </c>
      <c r="F201" s="9">
        <v>1</v>
      </c>
      <c r="G201" s="12">
        <f>6020.0184*E201*F201</f>
        <v>6020.0184</v>
      </c>
      <c r="H201" s="12">
        <f>39696.75267552*E201*F201</f>
        <v>39696.75267552</v>
      </c>
      <c r="I201" s="12">
        <f t="shared" si="29"/>
        <v>0</v>
      </c>
      <c r="J201" s="12">
        <f>6032.0584368*E201*F201</f>
        <v>6032.0584368</v>
      </c>
      <c r="K201" s="12">
        <f>9056.045164656*E201*F201</f>
        <v>9056.045164656</v>
      </c>
      <c r="L201" s="12">
        <f t="shared" si="30"/>
        <v>0</v>
      </c>
      <c r="M201" s="29">
        <f t="shared" si="28"/>
        <v>608.04874676976</v>
      </c>
      <c r="N201" s="14">
        <f t="shared" si="31"/>
        <v>60804.874676976004</v>
      </c>
    </row>
    <row r="202" spans="2:14" ht="40.5" customHeight="1" thickBot="1" thickTop="1">
      <c r="B202" s="7">
        <v>197</v>
      </c>
      <c r="C202" s="5" t="s">
        <v>291</v>
      </c>
      <c r="D202" s="5" t="s">
        <v>202</v>
      </c>
      <c r="E202" s="9">
        <v>1</v>
      </c>
      <c r="F202" s="9">
        <v>1</v>
      </c>
      <c r="G202" s="12">
        <f>7321.644*E202*F202</f>
        <v>7321.644</v>
      </c>
      <c r="H202" s="12">
        <f>39696.75267552*E202*F202</f>
        <v>39696.75267552</v>
      </c>
      <c r="I202" s="12">
        <f t="shared" si="29"/>
        <v>0</v>
      </c>
      <c r="J202" s="12">
        <f>7336.287288*E202*F202</f>
        <v>7336.287288</v>
      </c>
      <c r="K202" s="12">
        <f>9512.069693616*E202*F202</f>
        <v>9512.069693616</v>
      </c>
      <c r="L202" s="12">
        <f t="shared" si="30"/>
        <v>0</v>
      </c>
      <c r="M202" s="29">
        <f t="shared" si="28"/>
        <v>638.6675365713601</v>
      </c>
      <c r="N202" s="14">
        <f t="shared" si="31"/>
        <v>63866.753657136</v>
      </c>
    </row>
    <row r="203" spans="2:14" ht="40.5" customHeight="1" thickBot="1" thickTop="1">
      <c r="B203" s="7">
        <v>198</v>
      </c>
      <c r="C203" s="5" t="s">
        <v>292</v>
      </c>
      <c r="D203" s="5" t="s">
        <v>293</v>
      </c>
      <c r="E203" s="9">
        <v>1</v>
      </c>
      <c r="F203" s="9">
        <v>1</v>
      </c>
      <c r="G203" s="12">
        <f>794.99*E203*F203</f>
        <v>794.99</v>
      </c>
      <c r="H203" s="12">
        <f>3542.3683771536*E203*F203</f>
        <v>3542.3683771536</v>
      </c>
      <c r="I203" s="12">
        <f t="shared" si="29"/>
        <v>0</v>
      </c>
      <c r="J203" s="12">
        <f>796.57998*E203*F203</f>
        <v>796.57998</v>
      </c>
      <c r="K203" s="12">
        <f>898.43921250188*E203*F203</f>
        <v>898.43921250188</v>
      </c>
      <c r="L203" s="12">
        <f t="shared" si="30"/>
        <v>0</v>
      </c>
      <c r="M203" s="29">
        <f t="shared" si="28"/>
        <v>60.323775696554804</v>
      </c>
      <c r="N203" s="14">
        <f t="shared" si="31"/>
        <v>6032.37756965548</v>
      </c>
    </row>
    <row r="204" spans="2:14" ht="40.5" customHeight="1" thickBot="1" thickTop="1">
      <c r="B204" s="7">
        <v>199</v>
      </c>
      <c r="C204" s="5" t="s">
        <v>294</v>
      </c>
      <c r="D204" s="5" t="s">
        <v>293</v>
      </c>
      <c r="E204" s="9">
        <v>1</v>
      </c>
      <c r="F204" s="9">
        <v>1</v>
      </c>
      <c r="G204" s="12">
        <f>1152.32*E204*F204</f>
        <v>1152.32</v>
      </c>
      <c r="H204" s="12">
        <f>5958.2805962184*E204*F204</f>
        <v>5958.2805962184</v>
      </c>
      <c r="I204" s="12">
        <f t="shared" si="29"/>
        <v>0</v>
      </c>
      <c r="J204" s="12">
        <f>1154.62464*E204*F204</f>
        <v>1154.62464</v>
      </c>
      <c r="K204" s="12">
        <f>1446.4144163382*E204*F204</f>
        <v>1446.4144163382</v>
      </c>
      <c r="L204" s="12">
        <f t="shared" si="30"/>
        <v>0</v>
      </c>
      <c r="M204" s="29">
        <f t="shared" si="28"/>
        <v>97.11639652556602</v>
      </c>
      <c r="N204" s="14">
        <f t="shared" si="31"/>
        <v>9711.639652556602</v>
      </c>
    </row>
    <row r="205" spans="2:14" ht="40.5" customHeight="1" thickBot="1" thickTop="1">
      <c r="B205" s="7">
        <v>200</v>
      </c>
      <c r="C205" s="5" t="s">
        <v>295</v>
      </c>
      <c r="D205" s="5" t="s">
        <v>293</v>
      </c>
      <c r="E205" s="9">
        <v>1</v>
      </c>
      <c r="F205" s="9">
        <v>1</v>
      </c>
      <c r="G205" s="12">
        <f>1966.7*E205*F205</f>
        <v>1966.7</v>
      </c>
      <c r="H205" s="12">
        <f>11994.301548504*E205*F205</f>
        <v>11994.301548504</v>
      </c>
      <c r="I205" s="12">
        <f t="shared" si="29"/>
        <v>0</v>
      </c>
      <c r="J205" s="12">
        <f>1970.6334*E205*F205</f>
        <v>1970.6334</v>
      </c>
      <c r="K205" s="12">
        <f>2788.0361159882*E205*F205</f>
        <v>2788.0361159882</v>
      </c>
      <c r="L205" s="12">
        <f t="shared" si="30"/>
        <v>0</v>
      </c>
      <c r="M205" s="29">
        <f t="shared" si="28"/>
        <v>187.19671064492204</v>
      </c>
      <c r="N205" s="14">
        <f t="shared" si="31"/>
        <v>18719.671064492202</v>
      </c>
    </row>
    <row r="206" spans="2:14" ht="40.5" customHeight="1" thickBot="1" thickTop="1">
      <c r="B206" s="7">
        <v>201</v>
      </c>
      <c r="C206" s="5" t="s">
        <v>296</v>
      </c>
      <c r="D206" s="5" t="s">
        <v>297</v>
      </c>
      <c r="E206" s="9">
        <v>1</v>
      </c>
      <c r="F206" s="9">
        <v>1</v>
      </c>
      <c r="G206" s="12">
        <f>21.151416*E206*F206</f>
        <v>21.151416</v>
      </c>
      <c r="H206" s="12">
        <f>2.39698916352*E206*F206</f>
        <v>2.39698916352</v>
      </c>
      <c r="I206" s="12">
        <f t="shared" si="29"/>
        <v>0</v>
      </c>
      <c r="J206" s="12">
        <f>21.193718832*E206*F206</f>
        <v>21.193718832</v>
      </c>
      <c r="K206" s="12">
        <f>7.829871699216*E206*F206</f>
        <v>7.829871699216</v>
      </c>
      <c r="L206" s="12">
        <f t="shared" si="30"/>
        <v>0</v>
      </c>
      <c r="M206" s="29">
        <f>N206/F206/E206</f>
        <v>52.571995694736</v>
      </c>
      <c r="N206" s="14">
        <f t="shared" si="31"/>
        <v>52.571995694736</v>
      </c>
    </row>
    <row r="207" spans="2:14" ht="40.5" customHeight="1" thickBot="1" thickTop="1">
      <c r="B207" s="7">
        <v>202</v>
      </c>
      <c r="C207" s="5" t="s">
        <v>298</v>
      </c>
      <c r="D207" s="5" t="s">
        <v>297</v>
      </c>
      <c r="E207" s="9">
        <v>1</v>
      </c>
      <c r="F207" s="9">
        <v>1</v>
      </c>
      <c r="G207" s="12">
        <f>21.151416*E207*F207</f>
        <v>21.151416</v>
      </c>
      <c r="H207" s="12">
        <f>5.02090792704*E207*F207</f>
        <v>5.02090792704</v>
      </c>
      <c r="I207" s="12">
        <f t="shared" si="29"/>
        <v>0</v>
      </c>
      <c r="J207" s="12">
        <f>21.193718832*E207*F207</f>
        <v>21.193718832</v>
      </c>
      <c r="K207" s="12">
        <f>8.289057482832*E207*F207</f>
        <v>8.289057482832</v>
      </c>
      <c r="L207" s="12">
        <f t="shared" si="30"/>
        <v>0</v>
      </c>
      <c r="M207" s="29">
        <f>N207/F207/E207</f>
        <v>55.655100241872</v>
      </c>
      <c r="N207" s="14">
        <f t="shared" si="31"/>
        <v>55.655100241872</v>
      </c>
    </row>
    <row r="208" spans="2:14" ht="40.5" customHeight="1" thickBot="1" thickTop="1">
      <c r="B208" s="7">
        <v>203</v>
      </c>
      <c r="C208" s="5" t="s">
        <v>299</v>
      </c>
      <c r="D208" s="5" t="s">
        <v>297</v>
      </c>
      <c r="E208" s="9">
        <v>1</v>
      </c>
      <c r="F208" s="9">
        <v>1</v>
      </c>
      <c r="G208" s="12">
        <f>21.151416*E208*F208</f>
        <v>21.151416</v>
      </c>
      <c r="H208" s="12">
        <f>7.64482669056*E208*F208</f>
        <v>7.64482669056</v>
      </c>
      <c r="I208" s="12">
        <f t="shared" si="29"/>
        <v>0</v>
      </c>
      <c r="J208" s="12">
        <f>21.193718832*E208*F208</f>
        <v>21.193718832</v>
      </c>
      <c r="K208" s="12">
        <f>8.748243266448*E208*F208</f>
        <v>8.748243266448</v>
      </c>
      <c r="L208" s="12">
        <f t="shared" si="30"/>
        <v>0</v>
      </c>
      <c r="M208" s="29">
        <f>N208/F208/E208</f>
        <v>58.738204789007995</v>
      </c>
      <c r="N208" s="14">
        <f t="shared" si="31"/>
        <v>58.738204789007995</v>
      </c>
    </row>
    <row r="209" spans="2:14" ht="40.5" customHeight="1" thickBot="1" thickTop="1">
      <c r="B209" s="7">
        <v>204</v>
      </c>
      <c r="C209" s="5" t="s">
        <v>300</v>
      </c>
      <c r="D209" s="5" t="s">
        <v>297</v>
      </c>
      <c r="E209" s="9">
        <v>1</v>
      </c>
      <c r="F209" s="9">
        <v>1</v>
      </c>
      <c r="G209" s="12">
        <f>21.151416*E209*F209</f>
        <v>21.151416</v>
      </c>
      <c r="H209" s="12">
        <f>5.58751104*E209*F209</f>
        <v>5.58751104</v>
      </c>
      <c r="I209" s="12">
        <f t="shared" si="29"/>
        <v>0</v>
      </c>
      <c r="J209" s="12">
        <f>21.193718832*E209*F209</f>
        <v>21.193718832</v>
      </c>
      <c r="K209" s="12">
        <f>8.3882130276*E209*F209</f>
        <v>8.3882130276</v>
      </c>
      <c r="L209" s="12">
        <f t="shared" si="30"/>
        <v>0</v>
      </c>
      <c r="M209" s="29">
        <f>N209/F209/E209</f>
        <v>56.3208588996</v>
      </c>
      <c r="N209" s="14">
        <f t="shared" si="31"/>
        <v>56.3208588996</v>
      </c>
    </row>
    <row r="210" spans="2:14" ht="40.5" customHeight="1" thickBot="1" thickTop="1">
      <c r="B210" s="7">
        <v>205</v>
      </c>
      <c r="C210" s="5" t="s">
        <v>301</v>
      </c>
      <c r="D210" s="5" t="s">
        <v>302</v>
      </c>
      <c r="E210" s="9">
        <v>1</v>
      </c>
      <c r="F210" s="9">
        <v>1</v>
      </c>
      <c r="G210" s="12">
        <f>1648.53579*E210*F210</f>
        <v>1648.53579</v>
      </c>
      <c r="H210" s="12">
        <f>0*E210*F210</f>
        <v>0</v>
      </c>
      <c r="I210" s="12">
        <f t="shared" si="29"/>
        <v>0</v>
      </c>
      <c r="J210" s="12">
        <f>1651.83286158*E210*F210</f>
        <v>1651.83286158</v>
      </c>
      <c r="K210" s="12">
        <f>577.5645140265*E210*F210</f>
        <v>577.5645140265</v>
      </c>
      <c r="L210" s="12">
        <f t="shared" si="30"/>
        <v>0</v>
      </c>
      <c r="M210" s="29">
        <f>N210/F210/E210</f>
        <v>3877.9331656065</v>
      </c>
      <c r="N210" s="14">
        <f t="shared" si="31"/>
        <v>3877.9331656065</v>
      </c>
    </row>
    <row r="211" spans="2:14" ht="40.5" customHeight="1" thickBot="1" thickTop="1">
      <c r="B211" s="7">
        <v>206</v>
      </c>
      <c r="C211" s="5" t="s">
        <v>303</v>
      </c>
      <c r="D211" s="5" t="s">
        <v>230</v>
      </c>
      <c r="E211" s="9">
        <v>1</v>
      </c>
      <c r="F211" s="9">
        <v>1</v>
      </c>
      <c r="G211" s="12">
        <f>15418.2798*E211*F211</f>
        <v>15418.2798</v>
      </c>
      <c r="H211" s="12">
        <f>258479.97097745*E211*F211</f>
        <v>258479.97097745</v>
      </c>
      <c r="I211" s="12">
        <f t="shared" si="29"/>
        <v>0</v>
      </c>
      <c r="J211" s="12">
        <f>15449.1163596*E211*F211</f>
        <v>15449.1163596</v>
      </c>
      <c r="K211" s="12">
        <f>50635.789248983*E211*F211</f>
        <v>50635.789248983</v>
      </c>
      <c r="L211" s="12">
        <f t="shared" si="30"/>
        <v>0</v>
      </c>
      <c r="M211" s="29">
        <f aca="true" t="shared" si="32" ref="M211:M237">N211/F211/E211/100</f>
        <v>3399.8315638603294</v>
      </c>
      <c r="N211" s="14">
        <f t="shared" si="31"/>
        <v>339983.15638603293</v>
      </c>
    </row>
    <row r="212" spans="2:14" ht="40.5" customHeight="1" thickBot="1" thickTop="1">
      <c r="B212" s="7">
        <v>207</v>
      </c>
      <c r="C212" s="5" t="s">
        <v>304</v>
      </c>
      <c r="D212" s="5" t="s">
        <v>305</v>
      </c>
      <c r="E212" s="9">
        <v>1</v>
      </c>
      <c r="F212" s="9">
        <v>1</v>
      </c>
      <c r="G212" s="12">
        <f>6902.424672*E212*F212</f>
        <v>6902.424672</v>
      </c>
      <c r="H212" s="12">
        <f>1515.8795382*E212*F212</f>
        <v>1515.8795382</v>
      </c>
      <c r="I212" s="12">
        <f t="shared" si="29"/>
        <v>0</v>
      </c>
      <c r="J212" s="12">
        <f>6916.229521344*E212*F212</f>
        <v>6916.229521344</v>
      </c>
      <c r="K212" s="12">
        <f>2683.5434030202*E212*F212</f>
        <v>2683.5434030202</v>
      </c>
      <c r="L212" s="12">
        <f t="shared" si="30"/>
        <v>0</v>
      </c>
      <c r="M212" s="29">
        <f t="shared" si="32"/>
        <v>180.18077134564203</v>
      </c>
      <c r="N212" s="14">
        <f t="shared" si="31"/>
        <v>18018.077134564202</v>
      </c>
    </row>
    <row r="213" spans="2:14" ht="40.5" customHeight="1" thickBot="1" thickTop="1">
      <c r="B213" s="7">
        <v>208</v>
      </c>
      <c r="C213" s="5" t="s">
        <v>306</v>
      </c>
      <c r="D213" s="5" t="s">
        <v>305</v>
      </c>
      <c r="E213" s="9">
        <v>1</v>
      </c>
      <c r="F213" s="9">
        <v>1</v>
      </c>
      <c r="G213" s="12">
        <f>7905.684072*E213*F213</f>
        <v>7905.684072</v>
      </c>
      <c r="H213" s="12">
        <f>1814.101772184*E213*F213</f>
        <v>1814.101772184</v>
      </c>
      <c r="I213" s="12">
        <f t="shared" si="29"/>
        <v>0</v>
      </c>
      <c r="J213" s="12">
        <f>7921.495440144*E213*F213</f>
        <v>7921.495440144</v>
      </c>
      <c r="K213" s="12">
        <f>3087.2242247574*E213*F213</f>
        <v>3087.2242247574</v>
      </c>
      <c r="L213" s="12">
        <f t="shared" si="30"/>
        <v>0</v>
      </c>
      <c r="M213" s="29">
        <f t="shared" si="32"/>
        <v>207.285055090854</v>
      </c>
      <c r="N213" s="14">
        <f t="shared" si="31"/>
        <v>20728.5055090854</v>
      </c>
    </row>
    <row r="214" spans="2:14" ht="40.5" customHeight="1" thickBot="1" thickTop="1">
      <c r="B214" s="7">
        <v>209</v>
      </c>
      <c r="C214" s="5" t="s">
        <v>307</v>
      </c>
      <c r="D214" s="5" t="s">
        <v>102</v>
      </c>
      <c r="E214" s="9">
        <v>1</v>
      </c>
      <c r="F214" s="9">
        <v>1</v>
      </c>
      <c r="G214" s="12">
        <f>7711.3296*E214*F214</f>
        <v>7711.3296</v>
      </c>
      <c r="H214" s="12">
        <f>18810.932485032*E214*F214</f>
        <v>18810.932485032</v>
      </c>
      <c r="I214" s="12">
        <f t="shared" si="29"/>
        <v>0</v>
      </c>
      <c r="J214" s="12">
        <f>7726.7522592*E214*F214</f>
        <v>7726.7522592</v>
      </c>
      <c r="K214" s="12">
        <f>5993.5775102406*E214*F214</f>
        <v>5993.5775102406</v>
      </c>
      <c r="L214" s="12">
        <f t="shared" si="30"/>
        <v>0</v>
      </c>
      <c r="M214" s="29">
        <f t="shared" si="32"/>
        <v>402.425918544726</v>
      </c>
      <c r="N214" s="14">
        <f t="shared" si="31"/>
        <v>40242.5918544726</v>
      </c>
    </row>
    <row r="215" spans="2:14" ht="40.5" customHeight="1" thickBot="1" thickTop="1">
      <c r="B215" s="7">
        <v>210</v>
      </c>
      <c r="C215" s="5" t="s">
        <v>308</v>
      </c>
      <c r="D215" s="5" t="s">
        <v>102</v>
      </c>
      <c r="E215" s="9">
        <v>1</v>
      </c>
      <c r="F215" s="9">
        <v>1</v>
      </c>
      <c r="G215" s="12">
        <f>9805.7648*E215*F215</f>
        <v>9805.7648</v>
      </c>
      <c r="H215" s="12">
        <f>35411.313509784*E215*F215</f>
        <v>35411.313509784</v>
      </c>
      <c r="I215" s="12">
        <f t="shared" si="29"/>
        <v>0</v>
      </c>
      <c r="J215" s="12">
        <f>9825.3763296*E215*F215</f>
        <v>9825.3763296</v>
      </c>
      <c r="K215" s="12">
        <f>9632.4295618922*E215*F215</f>
        <v>9632.4295618922</v>
      </c>
      <c r="L215" s="12">
        <f t="shared" si="30"/>
        <v>0</v>
      </c>
      <c r="M215" s="29">
        <f t="shared" si="32"/>
        <v>646.748842012762</v>
      </c>
      <c r="N215" s="14">
        <f t="shared" si="31"/>
        <v>64674.8842012762</v>
      </c>
    </row>
    <row r="216" spans="2:14" ht="40.5" customHeight="1" thickBot="1" thickTop="1">
      <c r="B216" s="7">
        <v>211</v>
      </c>
      <c r="C216" s="5" t="s">
        <v>309</v>
      </c>
      <c r="D216" s="5" t="s">
        <v>102</v>
      </c>
      <c r="E216" s="9">
        <v>1</v>
      </c>
      <c r="F216" s="9">
        <v>1</v>
      </c>
      <c r="G216" s="12">
        <f>12661.8128*E216*F216</f>
        <v>12661.8128</v>
      </c>
      <c r="H216" s="12">
        <f>73787.23005444*E216*F216</f>
        <v>73787.23005444</v>
      </c>
      <c r="I216" s="12">
        <f t="shared" si="29"/>
        <v>0</v>
      </c>
      <c r="J216" s="12">
        <f>12687.1364256*E216*F216</f>
        <v>12687.1364256</v>
      </c>
      <c r="K216" s="12">
        <f>17348.831374007*E216*F216</f>
        <v>17348.831374007</v>
      </c>
      <c r="L216" s="12">
        <f t="shared" si="30"/>
        <v>0</v>
      </c>
      <c r="M216" s="29">
        <f t="shared" si="32"/>
        <v>1164.85010654047</v>
      </c>
      <c r="N216" s="14">
        <f t="shared" si="31"/>
        <v>116485.010654047</v>
      </c>
    </row>
    <row r="217" spans="2:14" ht="40.5" customHeight="1" thickBot="1" thickTop="1">
      <c r="B217" s="7">
        <v>212</v>
      </c>
      <c r="C217" s="5" t="s">
        <v>310</v>
      </c>
      <c r="D217" s="5" t="s">
        <v>102</v>
      </c>
      <c r="E217" s="9">
        <v>1</v>
      </c>
      <c r="F217" s="9">
        <v>1</v>
      </c>
      <c r="G217" s="12">
        <f>29322.0928*E217*F217</f>
        <v>29322.0928</v>
      </c>
      <c r="H217" s="12">
        <f>190411.4203416*E217*F217</f>
        <v>190411.4203416</v>
      </c>
      <c r="I217" s="12">
        <f t="shared" si="29"/>
        <v>0</v>
      </c>
      <c r="J217" s="12">
        <f>29380.7369856*E217*F217</f>
        <v>29380.7369856</v>
      </c>
      <c r="K217" s="12">
        <f>43594.99377226*E217*F217</f>
        <v>43594.99377226</v>
      </c>
      <c r="L217" s="12">
        <f t="shared" si="30"/>
        <v>0</v>
      </c>
      <c r="M217" s="29">
        <f t="shared" si="32"/>
        <v>2927.0924389946</v>
      </c>
      <c r="N217" s="14">
        <f t="shared" si="31"/>
        <v>292709.24389946</v>
      </c>
    </row>
    <row r="218" spans="2:14" ht="40.5" customHeight="1" thickBot="1" thickTop="1">
      <c r="B218" s="7">
        <v>213</v>
      </c>
      <c r="C218" s="5" t="s">
        <v>311</v>
      </c>
      <c r="D218" s="5" t="s">
        <v>102</v>
      </c>
      <c r="E218" s="9">
        <v>1</v>
      </c>
      <c r="F218" s="9">
        <v>1</v>
      </c>
      <c r="G218" s="12">
        <f>40175.0752*E218*F218</f>
        <v>40175.0752</v>
      </c>
      <c r="H218" s="12">
        <f>399826.2523176*E218*F218</f>
        <v>399826.2523176</v>
      </c>
      <c r="I218" s="12">
        <f t="shared" si="29"/>
        <v>0</v>
      </c>
      <c r="J218" s="12">
        <f>40255.4253504*E218*F218</f>
        <v>40255.4253504</v>
      </c>
      <c r="K218" s="12">
        <f>84044.9317519*E218*F218</f>
        <v>84044.9317519</v>
      </c>
      <c r="L218" s="12">
        <f t="shared" si="30"/>
        <v>0</v>
      </c>
      <c r="M218" s="29">
        <f t="shared" si="32"/>
        <v>5643.016846199001</v>
      </c>
      <c r="N218" s="14">
        <f t="shared" si="31"/>
        <v>564301.6846199001</v>
      </c>
    </row>
    <row r="219" spans="2:14" ht="40.5" customHeight="1" thickBot="1" thickTop="1">
      <c r="B219" s="7">
        <v>214</v>
      </c>
      <c r="C219" s="5" t="s">
        <v>312</v>
      </c>
      <c r="D219" s="5" t="s">
        <v>102</v>
      </c>
      <c r="E219" s="9">
        <v>1</v>
      </c>
      <c r="F219" s="9">
        <v>1</v>
      </c>
      <c r="G219" s="12">
        <f>52265.6784*E219*F219</f>
        <v>52265.6784</v>
      </c>
      <c r="H219" s="12">
        <f>777328.2563976*E219*F219</f>
        <v>777328.2563976</v>
      </c>
      <c r="I219" s="12">
        <f t="shared" si="29"/>
        <v>0</v>
      </c>
      <c r="J219" s="12">
        <f>52370.2097568*E219*F219</f>
        <v>52370.2097568</v>
      </c>
      <c r="K219" s="12">
        <f>154343.72529702*E219*F219</f>
        <v>154343.72529702</v>
      </c>
      <c r="L219" s="12">
        <f t="shared" si="30"/>
        <v>0</v>
      </c>
      <c r="M219" s="29">
        <f t="shared" si="32"/>
        <v>10363.078698514199</v>
      </c>
      <c r="N219" s="14">
        <f t="shared" si="31"/>
        <v>1036307.8698514199</v>
      </c>
    </row>
    <row r="220" spans="2:14" ht="40.5" customHeight="1" thickBot="1" thickTop="1">
      <c r="B220" s="7">
        <v>215</v>
      </c>
      <c r="C220" s="5" t="s">
        <v>313</v>
      </c>
      <c r="D220" s="5" t="s">
        <v>257</v>
      </c>
      <c r="E220" s="9">
        <v>1</v>
      </c>
      <c r="F220" s="9">
        <v>1</v>
      </c>
      <c r="G220" s="12">
        <f>1301.9*E220*F220</f>
        <v>1301.9</v>
      </c>
      <c r="H220" s="12">
        <f>489486.87466906*E220*F220</f>
        <v>489486.87466906</v>
      </c>
      <c r="I220" s="12">
        <f t="shared" si="29"/>
        <v>0</v>
      </c>
      <c r="J220" s="12">
        <f>1304.5038*E220*F220</f>
        <v>1304.5038</v>
      </c>
      <c r="K220" s="12">
        <f>86116.323732085*E220*F220</f>
        <v>86116.323732085</v>
      </c>
      <c r="L220" s="12">
        <f t="shared" si="30"/>
        <v>0</v>
      </c>
      <c r="M220" s="29">
        <f t="shared" si="32"/>
        <v>5782.09602201145</v>
      </c>
      <c r="N220" s="14">
        <f t="shared" si="31"/>
        <v>578209.602201145</v>
      </c>
    </row>
    <row r="221" spans="2:14" ht="40.5" customHeight="1" thickBot="1" thickTop="1">
      <c r="B221" s="7">
        <v>216</v>
      </c>
      <c r="C221" s="5" t="s">
        <v>314</v>
      </c>
      <c r="D221" s="5" t="s">
        <v>274</v>
      </c>
      <c r="E221" s="9">
        <v>1</v>
      </c>
      <c r="F221" s="9">
        <v>1</v>
      </c>
      <c r="G221" s="12">
        <f>10927.60944*E221*F221</f>
        <v>10927.60944</v>
      </c>
      <c r="H221" s="12">
        <f>18743.1790752*E221*F221</f>
        <v>18743.1790752</v>
      </c>
      <c r="I221" s="12">
        <f t="shared" si="29"/>
        <v>0</v>
      </c>
      <c r="J221" s="12">
        <f>10949.46465888*E221*F221</f>
        <v>10949.46465888</v>
      </c>
      <c r="K221" s="12">
        <f>7108.544305464*E221*F221</f>
        <v>7108.544305464</v>
      </c>
      <c r="L221" s="12">
        <f t="shared" si="30"/>
        <v>0</v>
      </c>
      <c r="M221" s="29">
        <f t="shared" si="32"/>
        <v>477.28797479544005</v>
      </c>
      <c r="N221" s="14">
        <f t="shared" si="31"/>
        <v>47728.797479544</v>
      </c>
    </row>
    <row r="222" spans="2:14" ht="40.5" customHeight="1" thickBot="1" thickTop="1">
      <c r="B222" s="7">
        <v>217</v>
      </c>
      <c r="C222" s="5" t="s">
        <v>315</v>
      </c>
      <c r="D222" s="5" t="s">
        <v>274</v>
      </c>
      <c r="E222" s="9">
        <v>1</v>
      </c>
      <c r="F222" s="9">
        <v>1</v>
      </c>
      <c r="G222" s="12">
        <f>11582.51754*E222*F222</f>
        <v>11582.51754</v>
      </c>
      <c r="H222" s="12">
        <f>32392.09492416*E222*F222</f>
        <v>32392.09492416</v>
      </c>
      <c r="I222" s="12">
        <f t="shared" si="29"/>
        <v>0</v>
      </c>
      <c r="J222" s="12">
        <f>11605.68257508*E222*F222</f>
        <v>11605.68257508</v>
      </c>
      <c r="K222" s="12">
        <f>9726.551631867*E222*F222</f>
        <v>9726.551631867</v>
      </c>
      <c r="L222" s="12">
        <f t="shared" si="30"/>
        <v>0</v>
      </c>
      <c r="M222" s="29">
        <f t="shared" si="32"/>
        <v>653.06846671107</v>
      </c>
      <c r="N222" s="14">
        <f t="shared" si="31"/>
        <v>65306.846671107</v>
      </c>
    </row>
    <row r="223" spans="2:14" ht="40.5" customHeight="1" thickBot="1" thickTop="1">
      <c r="B223" s="7">
        <v>218</v>
      </c>
      <c r="C223" s="5" t="s">
        <v>316</v>
      </c>
      <c r="D223" s="5" t="s">
        <v>274</v>
      </c>
      <c r="E223" s="9">
        <v>1</v>
      </c>
      <c r="F223" s="9">
        <v>1</v>
      </c>
      <c r="G223" s="12">
        <f>10927.60944*E223*F223</f>
        <v>10927.60944</v>
      </c>
      <c r="H223" s="12">
        <f>18743.1790752*E223*F223</f>
        <v>18743.1790752</v>
      </c>
      <c r="I223" s="12">
        <f t="shared" si="29"/>
        <v>0</v>
      </c>
      <c r="J223" s="12">
        <f>10949.46465888*E223*F223</f>
        <v>10949.46465888</v>
      </c>
      <c r="K223" s="12">
        <f>7108.544305464*E223*F223</f>
        <v>7108.544305464</v>
      </c>
      <c r="L223" s="12">
        <f t="shared" si="30"/>
        <v>0</v>
      </c>
      <c r="M223" s="29">
        <f t="shared" si="32"/>
        <v>477.28797479544005</v>
      </c>
      <c r="N223" s="14">
        <f t="shared" si="31"/>
        <v>47728.797479544</v>
      </c>
    </row>
    <row r="224" spans="2:14" ht="40.5" customHeight="1" thickBot="1" thickTop="1">
      <c r="B224" s="7">
        <v>219</v>
      </c>
      <c r="C224" s="5" t="s">
        <v>317</v>
      </c>
      <c r="D224" s="5" t="s">
        <v>274</v>
      </c>
      <c r="E224" s="9">
        <v>1</v>
      </c>
      <c r="F224" s="9">
        <v>1</v>
      </c>
      <c r="G224" s="12">
        <f>11582.51754*E224*F224</f>
        <v>11582.51754</v>
      </c>
      <c r="H224" s="12">
        <f>32392.09492416*E224*F224</f>
        <v>32392.09492416</v>
      </c>
      <c r="I224" s="12">
        <f t="shared" si="29"/>
        <v>0</v>
      </c>
      <c r="J224" s="12">
        <f>11605.68257508*E224*F224</f>
        <v>11605.68257508</v>
      </c>
      <c r="K224" s="12">
        <f>9726.551631867*E224*F224</f>
        <v>9726.551631867</v>
      </c>
      <c r="L224" s="12">
        <f t="shared" si="30"/>
        <v>0</v>
      </c>
      <c r="M224" s="29">
        <f t="shared" si="32"/>
        <v>653.06846671107</v>
      </c>
      <c r="N224" s="14">
        <f t="shared" si="31"/>
        <v>65306.846671107</v>
      </c>
    </row>
    <row r="225" spans="2:14" ht="40.5" customHeight="1" thickBot="1" thickTop="1">
      <c r="B225" s="7">
        <v>220</v>
      </c>
      <c r="C225" s="5" t="s">
        <v>318</v>
      </c>
      <c r="D225" s="5" t="s">
        <v>274</v>
      </c>
      <c r="E225" s="9">
        <v>1</v>
      </c>
      <c r="F225" s="9">
        <v>1</v>
      </c>
      <c r="G225" s="12">
        <f>11558.356656*E225*F225</f>
        <v>11558.356656</v>
      </c>
      <c r="H225" s="12">
        <f>101367.21972515*E225*F225</f>
        <v>101367.21972515</v>
      </c>
      <c r="I225" s="12">
        <f t="shared" si="29"/>
        <v>0</v>
      </c>
      <c r="J225" s="12">
        <f>11581.473369312*E225*F225</f>
        <v>11581.473369312</v>
      </c>
      <c r="K225" s="12">
        <f>21788.733706331*E225*F225</f>
        <v>21788.733706331</v>
      </c>
      <c r="L225" s="12">
        <f t="shared" si="30"/>
        <v>0</v>
      </c>
      <c r="M225" s="29">
        <f t="shared" si="32"/>
        <v>1462.95783456793</v>
      </c>
      <c r="N225" s="14">
        <f t="shared" si="31"/>
        <v>146295.783456793</v>
      </c>
    </row>
    <row r="226" spans="2:14" ht="40.5" customHeight="1" thickBot="1" thickTop="1">
      <c r="B226" s="7">
        <v>221</v>
      </c>
      <c r="C226" s="5" t="s">
        <v>319</v>
      </c>
      <c r="D226" s="5" t="s">
        <v>274</v>
      </c>
      <c r="E226" s="9">
        <v>1</v>
      </c>
      <c r="F226" s="9">
        <v>1</v>
      </c>
      <c r="G226" s="12">
        <f>41315.34528*E226*F226</f>
        <v>41315.34528</v>
      </c>
      <c r="H226" s="12">
        <f>137809.30433832*E226*F226</f>
        <v>137809.30433832</v>
      </c>
      <c r="I226" s="12">
        <f t="shared" si="29"/>
        <v>0</v>
      </c>
      <c r="J226" s="12">
        <f>41397.97597056*E226*F226</f>
        <v>41397.97597056</v>
      </c>
      <c r="K226" s="12">
        <f>38591.459478054*E226*F226</f>
        <v>38591.459478054</v>
      </c>
      <c r="L226" s="12">
        <f t="shared" si="30"/>
        <v>0</v>
      </c>
      <c r="M226" s="29">
        <f t="shared" si="32"/>
        <v>2591.14085066934</v>
      </c>
      <c r="N226" s="14">
        <f t="shared" si="31"/>
        <v>259114.08506693403</v>
      </c>
    </row>
    <row r="227" spans="2:14" ht="40.5" customHeight="1" thickBot="1" thickTop="1">
      <c r="B227" s="7">
        <v>222</v>
      </c>
      <c r="C227" s="5" t="s">
        <v>320</v>
      </c>
      <c r="D227" s="5" t="s">
        <v>274</v>
      </c>
      <c r="E227" s="9">
        <v>1</v>
      </c>
      <c r="F227" s="9">
        <v>1</v>
      </c>
      <c r="G227" s="12">
        <f>43691.7261*E227*F227</f>
        <v>43691.7261</v>
      </c>
      <c r="H227" s="12">
        <f>200185.40425133*E227*F227</f>
        <v>200185.40425133</v>
      </c>
      <c r="I227" s="12">
        <f t="shared" si="29"/>
        <v>0</v>
      </c>
      <c r="J227" s="12">
        <f>43779.1095522*E227*F227</f>
        <v>43779.1095522</v>
      </c>
      <c r="K227" s="12">
        <f>50339.841983117*E227*F227</f>
        <v>50339.841983117</v>
      </c>
      <c r="L227" s="12">
        <f t="shared" si="30"/>
        <v>0</v>
      </c>
      <c r="M227" s="29">
        <f t="shared" si="32"/>
        <v>3379.9608188664697</v>
      </c>
      <c r="N227" s="14">
        <f t="shared" si="31"/>
        <v>337996.081886647</v>
      </c>
    </row>
    <row r="228" spans="2:14" ht="40.5" customHeight="1" thickBot="1" thickTop="1">
      <c r="B228" s="7">
        <v>223</v>
      </c>
      <c r="C228" s="5" t="s">
        <v>321</v>
      </c>
      <c r="D228" s="5" t="s">
        <v>274</v>
      </c>
      <c r="E228" s="9">
        <v>1</v>
      </c>
      <c r="F228" s="9">
        <v>1</v>
      </c>
      <c r="G228" s="12">
        <f>63039.58254*E228*F228</f>
        <v>63039.58254</v>
      </c>
      <c r="H228" s="12">
        <f>297062.98923888*E228*F228</f>
        <v>297062.98923888</v>
      </c>
      <c r="I228" s="12">
        <f aca="true" t="shared" si="33" ref="I228:I259">0*E228*F228</f>
        <v>0</v>
      </c>
      <c r="J228" s="12">
        <f>63165.66170508*E228*F228</f>
        <v>63165.66170508</v>
      </c>
      <c r="K228" s="12">
        <f>74071.940859693*E228*F228</f>
        <v>74071.940859693</v>
      </c>
      <c r="L228" s="12">
        <f t="shared" si="30"/>
        <v>0</v>
      </c>
      <c r="M228" s="29">
        <f t="shared" si="32"/>
        <v>4973.40174343653</v>
      </c>
      <c r="N228" s="14">
        <f t="shared" si="31"/>
        <v>497340.17434365297</v>
      </c>
    </row>
    <row r="229" spans="2:14" ht="40.5" customHeight="1" thickBot="1" thickTop="1">
      <c r="B229" s="7">
        <v>224</v>
      </c>
      <c r="C229" s="5" t="s">
        <v>322</v>
      </c>
      <c r="D229" s="5" t="s">
        <v>323</v>
      </c>
      <c r="E229" s="9">
        <v>1</v>
      </c>
      <c r="F229" s="9">
        <v>1</v>
      </c>
      <c r="G229" s="12">
        <f>7484.3472*E229*F229</f>
        <v>7484.3472</v>
      </c>
      <c r="H229" s="12">
        <f>2415.412476193*E229*F229</f>
        <v>2415.412476193</v>
      </c>
      <c r="I229" s="12">
        <f t="shared" si="33"/>
        <v>0</v>
      </c>
      <c r="J229" s="12">
        <f>7499.3158944*E229*F229</f>
        <v>7499.3158944</v>
      </c>
      <c r="K229" s="12">
        <f>3044.8382248538*E229*F229</f>
        <v>3044.8382248538</v>
      </c>
      <c r="L229" s="12">
        <f t="shared" si="30"/>
        <v>0</v>
      </c>
      <c r="M229" s="29">
        <f t="shared" si="32"/>
        <v>204.43913795446798</v>
      </c>
      <c r="N229" s="14">
        <f t="shared" si="31"/>
        <v>20443.9137954468</v>
      </c>
    </row>
    <row r="230" spans="2:14" ht="40.5" customHeight="1" thickBot="1" thickTop="1">
      <c r="B230" s="7">
        <v>225</v>
      </c>
      <c r="C230" s="5" t="s">
        <v>324</v>
      </c>
      <c r="D230" s="5" t="s">
        <v>323</v>
      </c>
      <c r="E230" s="9">
        <v>1</v>
      </c>
      <c r="F230" s="9">
        <v>1</v>
      </c>
      <c r="G230" s="12">
        <f>8460.5664*E230*F230</f>
        <v>8460.5664</v>
      </c>
      <c r="H230" s="12">
        <f>2667.2287342759*E230*F230</f>
        <v>2667.2287342759</v>
      </c>
      <c r="I230" s="12">
        <f t="shared" si="33"/>
        <v>0</v>
      </c>
      <c r="J230" s="12">
        <f>8477.4875328*E230*F230</f>
        <v>8477.4875328</v>
      </c>
      <c r="K230" s="12">
        <f>3430.9244667383*E230*F230</f>
        <v>3430.9244667383</v>
      </c>
      <c r="L230" s="12">
        <f t="shared" si="30"/>
        <v>0</v>
      </c>
      <c r="M230" s="29">
        <f t="shared" si="32"/>
        <v>230.36207133814202</v>
      </c>
      <c r="N230" s="14">
        <f t="shared" si="31"/>
        <v>23036.2071338142</v>
      </c>
    </row>
    <row r="231" spans="2:14" ht="40.5" customHeight="1" thickBot="1" thickTop="1">
      <c r="B231" s="7">
        <v>226</v>
      </c>
      <c r="C231" s="5" t="s">
        <v>325</v>
      </c>
      <c r="D231" s="5" t="s">
        <v>323</v>
      </c>
      <c r="E231" s="9">
        <v>1</v>
      </c>
      <c r="F231" s="9">
        <v>1</v>
      </c>
      <c r="G231" s="12">
        <f>9436.7856*E231*F231</f>
        <v>9436.7856</v>
      </c>
      <c r="H231" s="12">
        <f>4104.5114280461*E231*F231</f>
        <v>4104.5114280461</v>
      </c>
      <c r="I231" s="12">
        <f t="shared" si="33"/>
        <v>0</v>
      </c>
      <c r="J231" s="12">
        <f>9455.6591712*E231*F231</f>
        <v>9455.6591712</v>
      </c>
      <c r="K231" s="12">
        <f>4024.4673348681*E231*F231</f>
        <v>4024.4673348681</v>
      </c>
      <c r="L231" s="12">
        <f t="shared" si="30"/>
        <v>0</v>
      </c>
      <c r="M231" s="29">
        <f t="shared" si="32"/>
        <v>270.214235341142</v>
      </c>
      <c r="N231" s="14">
        <f t="shared" si="31"/>
        <v>27021.4235341142</v>
      </c>
    </row>
    <row r="232" spans="2:14" ht="40.5" customHeight="1" thickBot="1" thickTop="1">
      <c r="B232" s="7">
        <v>227</v>
      </c>
      <c r="C232" s="5" t="s">
        <v>326</v>
      </c>
      <c r="D232" s="5" t="s">
        <v>323</v>
      </c>
      <c r="E232" s="9">
        <v>1</v>
      </c>
      <c r="F232" s="9">
        <v>1</v>
      </c>
      <c r="G232" s="12">
        <f>10413.0048*E232*F232</f>
        <v>10413.0048</v>
      </c>
      <c r="H232" s="12">
        <f>4425.1630247886*E232*F232</f>
        <v>4425.1630247886</v>
      </c>
      <c r="I232" s="12">
        <f t="shared" si="33"/>
        <v>0</v>
      </c>
      <c r="J232" s="12">
        <f>10433.8308096*E232*F232</f>
        <v>10433.8308096</v>
      </c>
      <c r="K232" s="12">
        <f>4422.599761018*E232*F232</f>
        <v>4422.599761018</v>
      </c>
      <c r="L232" s="12">
        <f t="shared" si="30"/>
        <v>0</v>
      </c>
      <c r="M232" s="29">
        <f t="shared" si="32"/>
        <v>296.94598395406604</v>
      </c>
      <c r="N232" s="14">
        <f t="shared" si="31"/>
        <v>29694.598395406603</v>
      </c>
    </row>
    <row r="233" spans="2:14" ht="40.5" customHeight="1" thickBot="1" thickTop="1">
      <c r="B233" s="7">
        <v>228</v>
      </c>
      <c r="C233" s="5" t="s">
        <v>327</v>
      </c>
      <c r="D233" s="5" t="s">
        <v>98</v>
      </c>
      <c r="E233" s="9">
        <v>1</v>
      </c>
      <c r="F233" s="9">
        <v>1</v>
      </c>
      <c r="G233" s="12">
        <f>1643.30232*E233*F233</f>
        <v>1643.30232</v>
      </c>
      <c r="H233" s="12">
        <f>1066.2393132*E233*F233</f>
        <v>1066.2393132</v>
      </c>
      <c r="I233" s="12">
        <f t="shared" si="33"/>
        <v>0</v>
      </c>
      <c r="J233" s="12">
        <f>1646.58892464*E233*F233</f>
        <v>1646.58892464</v>
      </c>
      <c r="K233" s="12">
        <f>762.322847622*E233*F233</f>
        <v>762.322847622</v>
      </c>
      <c r="L233" s="12">
        <f t="shared" si="30"/>
        <v>0</v>
      </c>
      <c r="M233" s="29">
        <f t="shared" si="32"/>
        <v>51.18453405462</v>
      </c>
      <c r="N233" s="14">
        <f t="shared" si="31"/>
        <v>5118.453405462</v>
      </c>
    </row>
    <row r="234" spans="2:14" ht="40.5" customHeight="1" thickBot="1" thickTop="1">
      <c r="B234" s="7">
        <v>229</v>
      </c>
      <c r="C234" s="5" t="s">
        <v>328</v>
      </c>
      <c r="D234" s="5" t="s">
        <v>329</v>
      </c>
      <c r="E234" s="9">
        <v>1</v>
      </c>
      <c r="F234" s="9">
        <v>1</v>
      </c>
      <c r="G234" s="12">
        <f>5043.7992*E234*F234</f>
        <v>5043.7992</v>
      </c>
      <c r="H234" s="12">
        <f>109606.34808*E234*F234</f>
        <v>109606.34808</v>
      </c>
      <c r="I234" s="12">
        <f t="shared" si="33"/>
        <v>0</v>
      </c>
      <c r="J234" s="12">
        <f>5053.8867984*E234*F234</f>
        <v>5053.8867984</v>
      </c>
      <c r="K234" s="12">
        <f>20948.20596372*E234*F234</f>
        <v>20948.20596372</v>
      </c>
      <c r="L234" s="12">
        <f t="shared" si="30"/>
        <v>0</v>
      </c>
      <c r="M234" s="29">
        <f t="shared" si="32"/>
        <v>1406.5224004211998</v>
      </c>
      <c r="N234" s="14">
        <f t="shared" si="31"/>
        <v>140652.24004211999</v>
      </c>
    </row>
    <row r="235" spans="2:14" ht="40.5" customHeight="1" thickBot="1" thickTop="1">
      <c r="B235" s="7">
        <v>230</v>
      </c>
      <c r="C235" s="5" t="s">
        <v>330</v>
      </c>
      <c r="D235" s="5" t="s">
        <v>331</v>
      </c>
      <c r="E235" s="9">
        <v>1</v>
      </c>
      <c r="F235" s="9">
        <v>1</v>
      </c>
      <c r="G235" s="12">
        <f>11389.224*E235*F235</f>
        <v>11389.224</v>
      </c>
      <c r="H235" s="12">
        <f>123922.68854861*E235*F235</f>
        <v>123922.68854861</v>
      </c>
      <c r="I235" s="12">
        <f t="shared" si="33"/>
        <v>0</v>
      </c>
      <c r="J235" s="12">
        <f>11412.002448*E235*F235</f>
        <v>11412.002448</v>
      </c>
      <c r="K235" s="12">
        <f>25676.685124406*E235*F235</f>
        <v>25676.685124406</v>
      </c>
      <c r="L235" s="12">
        <f t="shared" si="30"/>
        <v>0</v>
      </c>
      <c r="M235" s="29">
        <f t="shared" si="32"/>
        <v>1724.0060012101603</v>
      </c>
      <c r="N235" s="14">
        <f t="shared" si="31"/>
        <v>172400.60012101603</v>
      </c>
    </row>
    <row r="236" spans="2:14" ht="40.5" customHeight="1" thickBot="1" thickTop="1">
      <c r="B236" s="7">
        <v>231</v>
      </c>
      <c r="C236" s="5" t="s">
        <v>332</v>
      </c>
      <c r="D236" s="5" t="s">
        <v>331</v>
      </c>
      <c r="E236" s="9">
        <v>1</v>
      </c>
      <c r="F236" s="9">
        <v>1</v>
      </c>
      <c r="G236" s="12">
        <f>14643.288*E236*F236</f>
        <v>14643.288</v>
      </c>
      <c r="H236" s="12">
        <f>165796.95254861*E236*F236</f>
        <v>165796.95254861</v>
      </c>
      <c r="I236" s="12">
        <f t="shared" si="33"/>
        <v>0</v>
      </c>
      <c r="J236" s="12">
        <f>14672.574576*E236*F236</f>
        <v>14672.574576</v>
      </c>
      <c r="K236" s="12">
        <f>34144.742646806*E236*F236</f>
        <v>34144.742646806</v>
      </c>
      <c r="L236" s="12">
        <f t="shared" si="30"/>
        <v>0</v>
      </c>
      <c r="M236" s="29">
        <f t="shared" si="32"/>
        <v>2292.57557771416</v>
      </c>
      <c r="N236" s="14">
        <f t="shared" si="31"/>
        <v>229257.557771416</v>
      </c>
    </row>
    <row r="237" spans="2:14" ht="40.5" customHeight="1" thickBot="1" thickTop="1">
      <c r="B237" s="7">
        <v>232</v>
      </c>
      <c r="C237" s="5" t="s">
        <v>333</v>
      </c>
      <c r="D237" s="5" t="s">
        <v>334</v>
      </c>
      <c r="E237" s="9">
        <v>1</v>
      </c>
      <c r="F237" s="9">
        <v>1</v>
      </c>
      <c r="G237" s="12">
        <f>8623.2696*E237*F237</f>
        <v>8623.2696</v>
      </c>
      <c r="H237" s="12">
        <f>3744.148415616*E237*F237</f>
        <v>3744.148415616</v>
      </c>
      <c r="I237" s="12">
        <f t="shared" si="33"/>
        <v>0</v>
      </c>
      <c r="J237" s="12">
        <f>8640.5161392*E237*F237</f>
        <v>8640.5161392</v>
      </c>
      <c r="K237" s="12">
        <f>3676.3884770928*E237*F237</f>
        <v>3676.3884770928</v>
      </c>
      <c r="L237" s="12">
        <f t="shared" si="30"/>
        <v>0</v>
      </c>
      <c r="M237" s="29">
        <f t="shared" si="32"/>
        <v>246.843226319088</v>
      </c>
      <c r="N237" s="14">
        <f t="shared" si="31"/>
        <v>24684.3226319088</v>
      </c>
    </row>
    <row r="238" spans="2:14" ht="40.5" customHeight="1" thickBot="1" thickTop="1">
      <c r="B238" s="7">
        <v>233</v>
      </c>
      <c r="C238" s="5" t="s">
        <v>335</v>
      </c>
      <c r="D238" s="5" t="s">
        <v>336</v>
      </c>
      <c r="E238" s="9">
        <v>1</v>
      </c>
      <c r="F238" s="9">
        <v>1</v>
      </c>
      <c r="G238" s="12">
        <f>53.692056*E238*F238</f>
        <v>53.692056</v>
      </c>
      <c r="H238" s="12">
        <f>0*E238*F238</f>
        <v>0</v>
      </c>
      <c r="I238" s="12">
        <f t="shared" si="33"/>
        <v>0</v>
      </c>
      <c r="J238" s="12">
        <f>53.799440112*E238*F238</f>
        <v>53.799440112</v>
      </c>
      <c r="K238" s="12">
        <f>18.8110118196*E238*F238</f>
        <v>18.8110118196</v>
      </c>
      <c r="L238" s="12">
        <f t="shared" si="30"/>
        <v>0</v>
      </c>
      <c r="M238" s="29">
        <f>N238/F238/E238</f>
        <v>126.30250793159999</v>
      </c>
      <c r="N238" s="14">
        <f t="shared" si="31"/>
        <v>126.30250793159999</v>
      </c>
    </row>
    <row r="239" spans="2:14" ht="40.5" customHeight="1" thickBot="1" thickTop="1">
      <c r="B239" s="7">
        <v>234</v>
      </c>
      <c r="C239" s="5" t="s">
        <v>337</v>
      </c>
      <c r="D239" s="5" t="s">
        <v>336</v>
      </c>
      <c r="E239" s="9">
        <v>1</v>
      </c>
      <c r="F239" s="9">
        <v>1</v>
      </c>
      <c r="G239" s="12">
        <f>69.962376*E239*F239</f>
        <v>69.962376</v>
      </c>
      <c r="H239" s="12">
        <f>0*E239*F239</f>
        <v>0</v>
      </c>
      <c r="I239" s="12">
        <f t="shared" si="33"/>
        <v>0</v>
      </c>
      <c r="J239" s="12">
        <f>70.102300752*E239*F239</f>
        <v>70.102300752</v>
      </c>
      <c r="K239" s="12">
        <f>24.5113184316*E239*F239</f>
        <v>24.5113184316</v>
      </c>
      <c r="L239" s="12">
        <f t="shared" si="30"/>
        <v>0</v>
      </c>
      <c r="M239" s="29">
        <f>N239/F239/E239</f>
        <v>164.5759951836</v>
      </c>
      <c r="N239" s="14">
        <f t="shared" si="31"/>
        <v>164.5759951836</v>
      </c>
    </row>
    <row r="240" spans="2:14" ht="40.5" customHeight="1" thickBot="1" thickTop="1">
      <c r="B240" s="7">
        <v>235</v>
      </c>
      <c r="C240" s="5" t="s">
        <v>338</v>
      </c>
      <c r="D240" s="5" t="s">
        <v>336</v>
      </c>
      <c r="E240" s="9">
        <v>1</v>
      </c>
      <c r="F240" s="9">
        <v>1</v>
      </c>
      <c r="G240" s="12">
        <f>84.605664*E240*F240</f>
        <v>84.605664</v>
      </c>
      <c r="H240" s="12">
        <f>0*E240*F240</f>
        <v>0</v>
      </c>
      <c r="I240" s="12">
        <f t="shared" si="33"/>
        <v>0</v>
      </c>
      <c r="J240" s="12">
        <f>84.774875328*E240*F240</f>
        <v>84.774875328</v>
      </c>
      <c r="K240" s="12">
        <f>29.6415943824*E240*F240</f>
        <v>29.6415943824</v>
      </c>
      <c r="L240" s="12">
        <f t="shared" si="30"/>
        <v>0</v>
      </c>
      <c r="M240" s="29">
        <f>N240/F240/E240</f>
        <v>199.0221337104</v>
      </c>
      <c r="N240" s="14">
        <f t="shared" si="31"/>
        <v>199.0221337104</v>
      </c>
    </row>
    <row r="241" spans="2:14" ht="40.5" customHeight="1" thickBot="1" thickTop="1">
      <c r="B241" s="7">
        <v>236</v>
      </c>
      <c r="C241" s="5" t="s">
        <v>339</v>
      </c>
      <c r="D241" s="5" t="s">
        <v>305</v>
      </c>
      <c r="E241" s="9">
        <v>1</v>
      </c>
      <c r="F241" s="9">
        <v>1</v>
      </c>
      <c r="G241" s="12">
        <f>9685.3119*E241*F241</f>
        <v>9685.3119</v>
      </c>
      <c r="H241" s="12">
        <f>2236.55639292*E241*F241</f>
        <v>2236.55639292</v>
      </c>
      <c r="I241" s="12">
        <f t="shared" si="33"/>
        <v>0</v>
      </c>
      <c r="J241" s="12">
        <f>9704.6825238*E241*F241</f>
        <v>9704.6825238</v>
      </c>
      <c r="K241" s="12">
        <f>3784.646392926*E241*F241</f>
        <v>3784.646392926</v>
      </c>
      <c r="L241" s="12">
        <f t="shared" si="30"/>
        <v>0</v>
      </c>
      <c r="M241" s="29">
        <f>N241/F241/E241/100</f>
        <v>254.11197209646002</v>
      </c>
      <c r="N241" s="14">
        <f t="shared" si="31"/>
        <v>25411.197209646</v>
      </c>
    </row>
    <row r="242" spans="2:14" ht="40.5" customHeight="1" thickBot="1" thickTop="1">
      <c r="B242" s="7">
        <v>237</v>
      </c>
      <c r="C242" s="5" t="s">
        <v>340</v>
      </c>
      <c r="D242" s="5" t="s">
        <v>305</v>
      </c>
      <c r="E242" s="9">
        <v>1</v>
      </c>
      <c r="F242" s="9">
        <v>1</v>
      </c>
      <c r="G242" s="12">
        <f>12440.41656*E242*F242</f>
        <v>12440.41656</v>
      </c>
      <c r="H242" s="12">
        <f>3435.624695304*E242*F242</f>
        <v>3435.624695304</v>
      </c>
      <c r="I242" s="12">
        <f t="shared" si="33"/>
        <v>0</v>
      </c>
      <c r="J242" s="12">
        <f>12465.29739312*E242*F242</f>
        <v>12465.29739312</v>
      </c>
      <c r="K242" s="12">
        <f>4959.7342634742*E242*F242</f>
        <v>4959.7342634742</v>
      </c>
      <c r="L242" s="12">
        <f t="shared" si="30"/>
        <v>0</v>
      </c>
      <c r="M242" s="29">
        <f>N242/F242/E242/100</f>
        <v>333.010729118982</v>
      </c>
      <c r="N242" s="14">
        <f t="shared" si="31"/>
        <v>33301.0729118982</v>
      </c>
    </row>
    <row r="243" spans="2:14" ht="40.5" customHeight="1" thickBot="1" thickTop="1">
      <c r="B243" s="7">
        <v>238</v>
      </c>
      <c r="C243" s="5" t="s">
        <v>341</v>
      </c>
      <c r="D243" s="5" t="s">
        <v>305</v>
      </c>
      <c r="E243" s="9">
        <v>1</v>
      </c>
      <c r="F243" s="9">
        <v>1</v>
      </c>
      <c r="G243" s="12">
        <f>13151.52696*E243*F243</f>
        <v>13151.52696</v>
      </c>
      <c r="H243" s="12">
        <f>2474.673549984*E243*F243</f>
        <v>2474.673549984</v>
      </c>
      <c r="I243" s="12">
        <f t="shared" si="33"/>
        <v>0</v>
      </c>
      <c r="J243" s="12">
        <f>13177.83001392*E243*F243</f>
        <v>13177.83001392</v>
      </c>
      <c r="K243" s="12">
        <f>5040.7053416832*E243*F243</f>
        <v>5040.7053416832</v>
      </c>
      <c r="L243" s="12">
        <f t="shared" si="30"/>
        <v>0</v>
      </c>
      <c r="M243" s="29">
        <f>N243/F243/E243/100</f>
        <v>338.447358655872</v>
      </c>
      <c r="N243" s="14">
        <f t="shared" si="31"/>
        <v>33844.7358655872</v>
      </c>
    </row>
    <row r="244" spans="2:14" ht="40.5" customHeight="1" thickBot="1" thickTop="1">
      <c r="B244" s="7">
        <v>239</v>
      </c>
      <c r="C244" s="5" t="s">
        <v>342</v>
      </c>
      <c r="D244" s="5" t="s">
        <v>305</v>
      </c>
      <c r="E244" s="9">
        <v>1</v>
      </c>
      <c r="F244" s="9">
        <v>1</v>
      </c>
      <c r="G244" s="12">
        <f>16070.422368*E244*F244</f>
        <v>16070.422368</v>
      </c>
      <c r="H244" s="12">
        <f>3665.259335304*E244*F244</f>
        <v>3665.259335304</v>
      </c>
      <c r="I244" s="12">
        <f t="shared" si="33"/>
        <v>0</v>
      </c>
      <c r="J244" s="12">
        <f>16102.563212736*E244*F244</f>
        <v>16102.563212736</v>
      </c>
      <c r="K244" s="12">
        <f>6271.692860307*E244*F244</f>
        <v>6271.692860307</v>
      </c>
      <c r="L244" s="12">
        <f t="shared" si="30"/>
        <v>0</v>
      </c>
      <c r="M244" s="29">
        <f>N244/F244/E244/100</f>
        <v>421.09937776347</v>
      </c>
      <c r="N244" s="14">
        <f t="shared" si="31"/>
        <v>42109.937776347</v>
      </c>
    </row>
    <row r="245" spans="2:14" ht="40.5" customHeight="1" thickBot="1" thickTop="1">
      <c r="B245" s="7">
        <v>240</v>
      </c>
      <c r="C245" s="5" t="s">
        <v>343</v>
      </c>
      <c r="D245" s="5" t="s">
        <v>344</v>
      </c>
      <c r="E245" s="9">
        <v>1</v>
      </c>
      <c r="F245" s="9">
        <v>1</v>
      </c>
      <c r="G245" s="12">
        <f>71.589408*E245*F245</f>
        <v>71.589408</v>
      </c>
      <c r="H245" s="12">
        <f>147.13704*E245*F245</f>
        <v>147.13704</v>
      </c>
      <c r="I245" s="12">
        <f t="shared" si="33"/>
        <v>0</v>
      </c>
      <c r="J245" s="12">
        <f>71.732586816*E245*F245</f>
        <v>71.732586816</v>
      </c>
      <c r="K245" s="12">
        <f>50.8303310928*E245*F245</f>
        <v>50.8303310928</v>
      </c>
      <c r="L245" s="12">
        <f t="shared" si="30"/>
        <v>0</v>
      </c>
      <c r="M245" s="29">
        <f aca="true" t="shared" si="34" ref="M245:M266">N245/F245/E245</f>
        <v>341.2893659088</v>
      </c>
      <c r="N245" s="14">
        <f t="shared" si="31"/>
        <v>341.2893659088</v>
      </c>
    </row>
    <row r="246" spans="2:14" ht="40.5" customHeight="1" thickBot="1" thickTop="1">
      <c r="B246" s="7">
        <v>241</v>
      </c>
      <c r="C246" s="5" t="s">
        <v>345</v>
      </c>
      <c r="D246" s="5" t="s">
        <v>346</v>
      </c>
      <c r="E246" s="9">
        <v>1</v>
      </c>
      <c r="F246" s="9">
        <v>1</v>
      </c>
      <c r="G246" s="12">
        <f>82.6694*E246*F246</f>
        <v>82.6694</v>
      </c>
      <c r="H246" s="12">
        <f>2994.96888*E246*F246</f>
        <v>2994.96888</v>
      </c>
      <c r="I246" s="12">
        <f t="shared" si="33"/>
        <v>0</v>
      </c>
      <c r="J246" s="12">
        <f>82.8347388*E246*F246</f>
        <v>82.8347388</v>
      </c>
      <c r="K246" s="12">
        <f>553.08277829*E246*F246</f>
        <v>553.08277829</v>
      </c>
      <c r="L246" s="12">
        <f t="shared" si="30"/>
        <v>0</v>
      </c>
      <c r="M246" s="29">
        <f t="shared" si="34"/>
        <v>3713.5557970900004</v>
      </c>
      <c r="N246" s="14">
        <f t="shared" si="31"/>
        <v>3713.5557970900004</v>
      </c>
    </row>
    <row r="247" spans="2:14" ht="40.5" customHeight="1" thickBot="1" thickTop="1">
      <c r="B247" s="7">
        <v>242</v>
      </c>
      <c r="C247" s="5" t="s">
        <v>347</v>
      </c>
      <c r="D247" s="5" t="s">
        <v>348</v>
      </c>
      <c r="E247" s="9">
        <v>1</v>
      </c>
      <c r="F247" s="9">
        <v>1</v>
      </c>
      <c r="G247" s="12">
        <f>40.6758*E247*F247</f>
        <v>40.6758</v>
      </c>
      <c r="H247" s="12">
        <f>6094.65096*E247*F247</f>
        <v>6094.65096</v>
      </c>
      <c r="I247" s="12">
        <f t="shared" si="33"/>
        <v>0</v>
      </c>
      <c r="J247" s="12">
        <f>40.7571516*E247*F247</f>
        <v>40.7571516</v>
      </c>
      <c r="K247" s="12">
        <f>1080.81468453*E247*F247</f>
        <v>1080.81468453</v>
      </c>
      <c r="L247" s="12">
        <f t="shared" si="30"/>
        <v>0</v>
      </c>
      <c r="M247" s="29">
        <f t="shared" si="34"/>
        <v>7256.8985961299995</v>
      </c>
      <c r="N247" s="14">
        <f t="shared" si="31"/>
        <v>7256.8985961299995</v>
      </c>
    </row>
    <row r="248" spans="2:14" ht="40.5" customHeight="1" thickBot="1" thickTop="1">
      <c r="B248" s="7">
        <v>243</v>
      </c>
      <c r="C248" s="5" t="s">
        <v>349</v>
      </c>
      <c r="D248" s="5" t="s">
        <v>350</v>
      </c>
      <c r="E248" s="9">
        <v>1</v>
      </c>
      <c r="F248" s="9">
        <v>1</v>
      </c>
      <c r="G248" s="12">
        <f>13.016256*E248*F248</f>
        <v>13.016256</v>
      </c>
      <c r="H248" s="12">
        <f>995.476752*E248*F248</f>
        <v>995.476752</v>
      </c>
      <c r="I248" s="12">
        <f t="shared" si="33"/>
        <v>0</v>
      </c>
      <c r="J248" s="12">
        <f>13.042288512*E248*F248</f>
        <v>13.042288512</v>
      </c>
      <c r="K248" s="12">
        <f>178.7686768896*E248*F248</f>
        <v>178.7686768896</v>
      </c>
      <c r="L248" s="12">
        <f t="shared" si="30"/>
        <v>0</v>
      </c>
      <c r="M248" s="29">
        <f t="shared" si="34"/>
        <v>1200.3039734016002</v>
      </c>
      <c r="N248" s="14">
        <f t="shared" si="31"/>
        <v>1200.3039734016002</v>
      </c>
    </row>
    <row r="249" spans="2:14" ht="40.5" customHeight="1" thickBot="1" thickTop="1">
      <c r="B249" s="7">
        <v>244</v>
      </c>
      <c r="C249" s="5" t="s">
        <v>351</v>
      </c>
      <c r="D249" s="5" t="s">
        <v>352</v>
      </c>
      <c r="E249" s="9">
        <v>1</v>
      </c>
      <c r="F249" s="9">
        <v>1</v>
      </c>
      <c r="G249" s="12">
        <f>71.589408*E249*F249</f>
        <v>71.589408</v>
      </c>
      <c r="H249" s="12">
        <f>170.8092*E249*F249</f>
        <v>170.8092</v>
      </c>
      <c r="I249" s="12">
        <f t="shared" si="33"/>
        <v>0</v>
      </c>
      <c r="J249" s="12">
        <f>71.732586816*E249*F249</f>
        <v>71.732586816</v>
      </c>
      <c r="K249" s="12">
        <f>54.9729590928*E249*F249</f>
        <v>54.9729590928</v>
      </c>
      <c r="L249" s="12">
        <f t="shared" si="30"/>
        <v>0</v>
      </c>
      <c r="M249" s="29">
        <f t="shared" si="34"/>
        <v>369.1041539088</v>
      </c>
      <c r="N249" s="14">
        <f t="shared" si="31"/>
        <v>369.1041539088</v>
      </c>
    </row>
    <row r="250" spans="2:14" ht="40.5" customHeight="1" thickBot="1" thickTop="1">
      <c r="B250" s="7">
        <v>245</v>
      </c>
      <c r="C250" s="5" t="s">
        <v>353</v>
      </c>
      <c r="D250" s="5" t="s">
        <v>354</v>
      </c>
      <c r="E250" s="9">
        <v>1</v>
      </c>
      <c r="F250" s="9">
        <v>1</v>
      </c>
      <c r="G250" s="12">
        <f>113.89224*E250*F250</f>
        <v>113.89224</v>
      </c>
      <c r="H250" s="12">
        <f>3158.14032*E250*F250</f>
        <v>3158.14032</v>
      </c>
      <c r="I250" s="12">
        <f t="shared" si="33"/>
        <v>0</v>
      </c>
      <c r="J250" s="12">
        <f>114.12002448*E250*F250</f>
        <v>114.12002448</v>
      </c>
      <c r="K250" s="12">
        <f>592.576702284*E250*F250</f>
        <v>592.576702284</v>
      </c>
      <c r="L250" s="12">
        <f t="shared" si="30"/>
        <v>0</v>
      </c>
      <c r="M250" s="29">
        <f t="shared" si="34"/>
        <v>3978.7292867640003</v>
      </c>
      <c r="N250" s="14">
        <f t="shared" si="31"/>
        <v>3978.7292867640003</v>
      </c>
    </row>
    <row r="251" spans="2:14" ht="40.5" customHeight="1" thickBot="1" thickTop="1">
      <c r="B251" s="7">
        <v>246</v>
      </c>
      <c r="C251" s="5" t="s">
        <v>355</v>
      </c>
      <c r="D251" s="5" t="s">
        <v>354</v>
      </c>
      <c r="E251" s="9">
        <v>1</v>
      </c>
      <c r="F251" s="9">
        <v>1</v>
      </c>
      <c r="G251" s="12">
        <f>70.9709*E251*F251</f>
        <v>70.9709</v>
      </c>
      <c r="H251" s="12">
        <f>0*E251*F251</f>
        <v>0</v>
      </c>
      <c r="I251" s="12">
        <f t="shared" si="33"/>
        <v>0</v>
      </c>
      <c r="J251" s="12">
        <f>71.1128418*E251*F251</f>
        <v>71.1128418</v>
      </c>
      <c r="K251" s="12">
        <f>24.864654815*E251*F251</f>
        <v>24.864654815</v>
      </c>
      <c r="L251" s="12">
        <f t="shared" si="30"/>
        <v>0</v>
      </c>
      <c r="M251" s="29">
        <f t="shared" si="34"/>
        <v>166.94839661499998</v>
      </c>
      <c r="N251" s="14">
        <f t="shared" si="31"/>
        <v>166.94839661499998</v>
      </c>
    </row>
    <row r="252" spans="2:14" ht="40.5" customHeight="1" thickBot="1" thickTop="1">
      <c r="B252" s="7">
        <v>247</v>
      </c>
      <c r="C252" s="5" t="s">
        <v>356</v>
      </c>
      <c r="D252" s="5" t="s">
        <v>357</v>
      </c>
      <c r="E252" s="9">
        <v>1</v>
      </c>
      <c r="F252" s="9">
        <v>1</v>
      </c>
      <c r="G252" s="12">
        <f>237.0896*E252*F252</f>
        <v>237.0896</v>
      </c>
      <c r="H252" s="12">
        <f>38574.734504832*E252*F252</f>
        <v>38574.734504832</v>
      </c>
      <c r="I252" s="12">
        <f t="shared" si="33"/>
        <v>0</v>
      </c>
      <c r="J252" s="12">
        <f>237.5637792*E252*F252</f>
        <v>237.5637792</v>
      </c>
      <c r="K252" s="12">
        <f>6833.6428797056*E252*F252</f>
        <v>6833.6428797056</v>
      </c>
      <c r="L252" s="12">
        <f t="shared" si="30"/>
        <v>0</v>
      </c>
      <c r="M252" s="29">
        <f t="shared" si="34"/>
        <v>45883.030763737595</v>
      </c>
      <c r="N252" s="14">
        <f t="shared" si="31"/>
        <v>45883.030763737595</v>
      </c>
    </row>
    <row r="253" spans="2:14" ht="40.5" customHeight="1" thickBot="1" thickTop="1">
      <c r="B253" s="7">
        <v>248</v>
      </c>
      <c r="C253" s="5" t="s">
        <v>358</v>
      </c>
      <c r="D253" s="5" t="s">
        <v>359</v>
      </c>
      <c r="E253" s="9">
        <v>1</v>
      </c>
      <c r="F253" s="9">
        <v>1</v>
      </c>
      <c r="G253" s="12">
        <f>276.59544*E253*F253</f>
        <v>276.59544</v>
      </c>
      <c r="H253" s="12">
        <f>92.1185500392*E253*F253</f>
        <v>92.1185500392</v>
      </c>
      <c r="I253" s="12">
        <f t="shared" si="33"/>
        <v>0</v>
      </c>
      <c r="J253" s="12">
        <f>277.14863088*E253*F253</f>
        <v>277.14863088</v>
      </c>
      <c r="K253" s="12">
        <f>113.02595866086*E253*F253</f>
        <v>113.02595866086</v>
      </c>
      <c r="L253" s="12">
        <f t="shared" si="30"/>
        <v>0</v>
      </c>
      <c r="M253" s="29">
        <f t="shared" si="34"/>
        <v>758.88857958006</v>
      </c>
      <c r="N253" s="14">
        <f t="shared" si="31"/>
        <v>758.88857958006</v>
      </c>
    </row>
    <row r="254" spans="2:14" ht="40.5" customHeight="1" thickBot="1" thickTop="1">
      <c r="B254" s="7">
        <v>249</v>
      </c>
      <c r="C254" s="5" t="s">
        <v>360</v>
      </c>
      <c r="D254" s="5" t="s">
        <v>361</v>
      </c>
      <c r="E254" s="9">
        <v>1</v>
      </c>
      <c r="F254" s="9">
        <v>1</v>
      </c>
      <c r="G254" s="12">
        <f>146.43288*E254*F254</f>
        <v>146.43288</v>
      </c>
      <c r="H254" s="12">
        <f>1.68520192704*E254*F254</f>
        <v>1.68520192704</v>
      </c>
      <c r="I254" s="12">
        <f t="shared" si="33"/>
        <v>0</v>
      </c>
      <c r="J254" s="12">
        <f>146.72574576*E254*F254</f>
        <v>146.72574576</v>
      </c>
      <c r="K254" s="12">
        <f>51.597669845232*E254*F254</f>
        <v>51.597669845232</v>
      </c>
      <c r="L254" s="12">
        <f t="shared" si="30"/>
        <v>0</v>
      </c>
      <c r="M254" s="29">
        <f t="shared" si="34"/>
        <v>346.441497532272</v>
      </c>
      <c r="N254" s="14">
        <f t="shared" si="31"/>
        <v>346.441497532272</v>
      </c>
    </row>
    <row r="255" spans="2:14" ht="40.5" customHeight="1" thickBot="1" thickTop="1">
      <c r="B255" s="7">
        <v>250</v>
      </c>
      <c r="C255" s="5" t="s">
        <v>362</v>
      </c>
      <c r="D255" s="5" t="s">
        <v>361</v>
      </c>
      <c r="E255" s="9">
        <v>1</v>
      </c>
      <c r="F255" s="9">
        <v>1</v>
      </c>
      <c r="G255" s="12">
        <f>310.763112*E255*F255</f>
        <v>310.763112</v>
      </c>
      <c r="H255" s="12">
        <f>8757.08005608*E255*F255</f>
        <v>8757.08005608</v>
      </c>
      <c r="I255" s="12">
        <f t="shared" si="33"/>
        <v>0</v>
      </c>
      <c r="J255" s="12">
        <f>311.384638224*E255*F255</f>
        <v>311.384638224</v>
      </c>
      <c r="K255" s="12">
        <f>1641.3648661032*E255*F255</f>
        <v>1641.3648661032</v>
      </c>
      <c r="L255" s="12">
        <f t="shared" si="30"/>
        <v>0</v>
      </c>
      <c r="M255" s="29">
        <f t="shared" si="34"/>
        <v>11020.592672407201</v>
      </c>
      <c r="N255" s="14">
        <f t="shared" si="31"/>
        <v>11020.592672407201</v>
      </c>
    </row>
    <row r="256" spans="2:14" ht="40.5" customHeight="1" thickBot="1" thickTop="1">
      <c r="B256" s="7">
        <v>251</v>
      </c>
      <c r="C256" s="5" t="s">
        <v>363</v>
      </c>
      <c r="D256" s="5" t="s">
        <v>364</v>
      </c>
      <c r="E256" s="9">
        <v>1</v>
      </c>
      <c r="F256" s="9">
        <v>1</v>
      </c>
      <c r="G256" s="12">
        <f>32540.64*E256*F256</f>
        <v>32540.64</v>
      </c>
      <c r="H256" s="12">
        <f>37807.27421832*E256*F256</f>
        <v>37807.27421832</v>
      </c>
      <c r="I256" s="12">
        <f t="shared" si="33"/>
        <v>0</v>
      </c>
      <c r="J256" s="12">
        <f>32605.72128*E256*F256</f>
        <v>32605.72128</v>
      </c>
      <c r="K256" s="12">
        <f>18016.886212206*E256*F256</f>
        <v>18016.886212206</v>
      </c>
      <c r="L256" s="12">
        <f t="shared" si="30"/>
        <v>0</v>
      </c>
      <c r="M256" s="29">
        <f t="shared" si="34"/>
        <v>120970.521710526</v>
      </c>
      <c r="N256" s="14">
        <f t="shared" si="31"/>
        <v>120970.521710526</v>
      </c>
    </row>
    <row r="257" spans="2:14" ht="40.5" customHeight="1" thickBot="1" thickTop="1">
      <c r="B257" s="7">
        <v>252</v>
      </c>
      <c r="C257" s="5" t="s">
        <v>365</v>
      </c>
      <c r="D257" s="5" t="s">
        <v>366</v>
      </c>
      <c r="E257" s="9">
        <v>1</v>
      </c>
      <c r="F257" s="9">
        <v>1</v>
      </c>
      <c r="G257" s="12">
        <f>237.0896*E257*F257</f>
        <v>237.0896</v>
      </c>
      <c r="H257" s="12">
        <f>5755.9228110288*E257*F257</f>
        <v>5755.9228110288</v>
      </c>
      <c r="I257" s="12">
        <f t="shared" si="33"/>
        <v>0</v>
      </c>
      <c r="J257" s="12">
        <f>237.5637792*E257*F257</f>
        <v>237.5637792</v>
      </c>
      <c r="K257" s="12">
        <f>1090.35083329*E257*F257</f>
        <v>1090.35083329</v>
      </c>
      <c r="L257" s="12">
        <f t="shared" si="30"/>
        <v>0</v>
      </c>
      <c r="M257" s="29">
        <f t="shared" si="34"/>
        <v>7320.9270235188005</v>
      </c>
      <c r="N257" s="14">
        <f t="shared" si="31"/>
        <v>7320.9270235188005</v>
      </c>
    </row>
    <row r="258" spans="2:14" ht="40.5" customHeight="1" thickBot="1" thickTop="1">
      <c r="B258" s="7">
        <v>253</v>
      </c>
      <c r="C258" s="5" t="s">
        <v>367</v>
      </c>
      <c r="D258" s="5" t="s">
        <v>366</v>
      </c>
      <c r="E258" s="9">
        <v>1</v>
      </c>
      <c r="F258" s="9">
        <v>1</v>
      </c>
      <c r="G258" s="12">
        <f>94.3679*E258*F258</f>
        <v>94.3679</v>
      </c>
      <c r="H258" s="12">
        <f>26.4279765384*E258*F258</f>
        <v>26.4279765384</v>
      </c>
      <c r="I258" s="12">
        <f t="shared" si="33"/>
        <v>0</v>
      </c>
      <c r="J258" s="12">
        <f>94.5566358*E258*F258</f>
        <v>94.5566358</v>
      </c>
      <c r="K258" s="12">
        <f>37.68668965922*E258*F258</f>
        <v>37.68668965922</v>
      </c>
      <c r="L258" s="12">
        <f t="shared" si="30"/>
        <v>0</v>
      </c>
      <c r="M258" s="29">
        <f t="shared" si="34"/>
        <v>253.03920199762</v>
      </c>
      <c r="N258" s="14">
        <f t="shared" si="31"/>
        <v>253.03920199762</v>
      </c>
    </row>
    <row r="259" spans="2:14" ht="40.5" customHeight="1" thickBot="1" thickTop="1">
      <c r="B259" s="7">
        <v>254</v>
      </c>
      <c r="C259" s="5" t="s">
        <v>368</v>
      </c>
      <c r="D259" s="5" t="s">
        <v>369</v>
      </c>
      <c r="E259" s="9">
        <v>1</v>
      </c>
      <c r="F259" s="9">
        <v>1</v>
      </c>
      <c r="G259" s="12">
        <f>813.516*E259*F259</f>
        <v>813.516</v>
      </c>
      <c r="H259" s="12">
        <f>0*E259*F259</f>
        <v>0</v>
      </c>
      <c r="I259" s="12">
        <f t="shared" si="33"/>
        <v>0</v>
      </c>
      <c r="J259" s="12">
        <f>815.143032*E259*F259</f>
        <v>815.143032</v>
      </c>
      <c r="K259" s="12">
        <f>285.0153306*E259*F259</f>
        <v>285.0153306</v>
      </c>
      <c r="L259" s="12">
        <f t="shared" si="30"/>
        <v>0</v>
      </c>
      <c r="M259" s="29">
        <f>N259/F259/E259/100</f>
        <v>19.136743626</v>
      </c>
      <c r="N259" s="14">
        <f t="shared" si="31"/>
        <v>1913.6743626</v>
      </c>
    </row>
    <row r="260" spans="2:14" ht="40.5" customHeight="1" thickBot="1" thickTop="1">
      <c r="B260" s="7">
        <v>255</v>
      </c>
      <c r="C260" s="5" t="s">
        <v>370</v>
      </c>
      <c r="D260" s="5" t="s">
        <v>369</v>
      </c>
      <c r="E260" s="9">
        <v>1</v>
      </c>
      <c r="F260" s="9">
        <v>1</v>
      </c>
      <c r="G260" s="12">
        <f>1952.4384*E260*F260</f>
        <v>1952.4384</v>
      </c>
      <c r="H260" s="12">
        <f>0*E260*F260</f>
        <v>0</v>
      </c>
      <c r="I260" s="12">
        <f aca="true" t="shared" si="35" ref="I260:I291">0*E260*F260</f>
        <v>0</v>
      </c>
      <c r="J260" s="12">
        <f>1956.3432768*E260*F260</f>
        <v>1956.3432768</v>
      </c>
      <c r="K260" s="12">
        <f>684.03679344*E260*F260</f>
        <v>684.03679344</v>
      </c>
      <c r="L260" s="12">
        <f aca="true" t="shared" si="36" ref="L260:L323">0*E260*F260</f>
        <v>0</v>
      </c>
      <c r="M260" s="29">
        <f>N260/F260/E260/100</f>
        <v>45.9281847024</v>
      </c>
      <c r="N260" s="14">
        <f aca="true" t="shared" si="37" ref="N260:N323">SUM(G260:L260)</f>
        <v>4592.81847024</v>
      </c>
    </row>
    <row r="261" spans="2:14" ht="40.5" customHeight="1" thickBot="1" thickTop="1">
      <c r="B261" s="7">
        <v>256</v>
      </c>
      <c r="C261" s="5" t="s">
        <v>371</v>
      </c>
      <c r="D261" s="5" t="s">
        <v>372</v>
      </c>
      <c r="E261" s="9">
        <v>1</v>
      </c>
      <c r="F261" s="9">
        <v>1</v>
      </c>
      <c r="G261" s="12">
        <f>30.913608*E261*F261</f>
        <v>30.913608</v>
      </c>
      <c r="H261" s="12">
        <f>63.57456*E261*F261</f>
        <v>63.57456</v>
      </c>
      <c r="I261" s="12">
        <f t="shared" si="35"/>
        <v>0</v>
      </c>
      <c r="J261" s="12">
        <f>30.975435216*E261*F261</f>
        <v>30.975435216</v>
      </c>
      <c r="K261" s="12">
        <f>21.9561305628*E261*F261</f>
        <v>21.9561305628</v>
      </c>
      <c r="L261" s="12">
        <f t="shared" si="36"/>
        <v>0</v>
      </c>
      <c r="M261" s="29">
        <f t="shared" si="34"/>
        <v>147.41973377879998</v>
      </c>
      <c r="N261" s="14">
        <f t="shared" si="37"/>
        <v>147.41973377879998</v>
      </c>
    </row>
    <row r="262" spans="2:14" ht="40.5" customHeight="1" thickBot="1" thickTop="1">
      <c r="B262" s="7">
        <v>257</v>
      </c>
      <c r="C262" s="5" t="s">
        <v>373</v>
      </c>
      <c r="D262" s="5" t="s">
        <v>374</v>
      </c>
      <c r="E262" s="9">
        <v>1</v>
      </c>
      <c r="F262" s="9">
        <v>1</v>
      </c>
      <c r="G262" s="12">
        <f>69.48909*E262*F262</f>
        <v>69.48909</v>
      </c>
      <c r="H262" s="12">
        <f>437.2833636*E262*F262</f>
        <v>437.2833636</v>
      </c>
      <c r="I262" s="12">
        <f t="shared" si="35"/>
        <v>0</v>
      </c>
      <c r="J262" s="12">
        <f>69.62806818*E262*F262</f>
        <v>69.62806818</v>
      </c>
      <c r="K262" s="12">
        <f>100.8700913115*E262*F262</f>
        <v>100.8700913115</v>
      </c>
      <c r="L262" s="12">
        <f t="shared" si="36"/>
        <v>0</v>
      </c>
      <c r="M262" s="29">
        <f t="shared" si="34"/>
        <v>677.2706130915</v>
      </c>
      <c r="N262" s="14">
        <f t="shared" si="37"/>
        <v>677.2706130915</v>
      </c>
    </row>
    <row r="263" spans="2:14" ht="40.5" customHeight="1" thickBot="1" thickTop="1">
      <c r="B263" s="7">
        <v>258</v>
      </c>
      <c r="C263" s="5" t="s">
        <v>375</v>
      </c>
      <c r="D263" s="5" t="s">
        <v>374</v>
      </c>
      <c r="E263" s="9">
        <v>1</v>
      </c>
      <c r="F263" s="9">
        <v>1</v>
      </c>
      <c r="G263" s="12">
        <f>127.35767*E263*F263</f>
        <v>127.35767</v>
      </c>
      <c r="H263" s="12">
        <f>1033.15356504*E263*F263</f>
        <v>1033.15356504</v>
      </c>
      <c r="I263" s="12">
        <f t="shared" si="35"/>
        <v>0</v>
      </c>
      <c r="J263" s="12">
        <f>127.61238534*E263*F263</f>
        <v>127.61238534</v>
      </c>
      <c r="K263" s="12">
        <f>225.4216335665*E263*F263</f>
        <v>225.4216335665</v>
      </c>
      <c r="L263" s="12">
        <f t="shared" si="36"/>
        <v>0</v>
      </c>
      <c r="M263" s="29">
        <f t="shared" si="34"/>
        <v>1513.5452539465002</v>
      </c>
      <c r="N263" s="14">
        <f t="shared" si="37"/>
        <v>1513.5452539465002</v>
      </c>
    </row>
    <row r="264" spans="2:14" ht="40.5" customHeight="1" thickBot="1" thickTop="1">
      <c r="B264" s="7">
        <v>259</v>
      </c>
      <c r="C264" s="5" t="s">
        <v>376</v>
      </c>
      <c r="D264" s="5" t="s">
        <v>374</v>
      </c>
      <c r="E264" s="9">
        <v>1</v>
      </c>
      <c r="F264" s="9">
        <v>1</v>
      </c>
      <c r="G264" s="12">
        <f>26.032512*E264*F264</f>
        <v>26.032512</v>
      </c>
      <c r="H264" s="12">
        <f>30.20832*E264*F264</f>
        <v>30.20832</v>
      </c>
      <c r="I264" s="12">
        <f t="shared" si="35"/>
        <v>0</v>
      </c>
      <c r="J264" s="12">
        <f>26.084577024*E264*F264</f>
        <v>26.084577024</v>
      </c>
      <c r="K264" s="12">
        <f>14.4069465792*E264*F264</f>
        <v>14.4069465792</v>
      </c>
      <c r="L264" s="12">
        <f t="shared" si="36"/>
        <v>0</v>
      </c>
      <c r="M264" s="29">
        <f t="shared" si="34"/>
        <v>96.73235560319999</v>
      </c>
      <c r="N264" s="14">
        <f t="shared" si="37"/>
        <v>96.73235560319999</v>
      </c>
    </row>
    <row r="265" spans="2:14" ht="40.5" customHeight="1" thickBot="1" thickTop="1">
      <c r="B265" s="7">
        <v>260</v>
      </c>
      <c r="C265" s="5" t="s">
        <v>377</v>
      </c>
      <c r="D265" s="5" t="s">
        <v>374</v>
      </c>
      <c r="E265" s="9">
        <v>1</v>
      </c>
      <c r="F265" s="9">
        <v>1</v>
      </c>
      <c r="G265" s="12">
        <f>73.21644*E265*F265</f>
        <v>73.21644</v>
      </c>
      <c r="H265" s="12">
        <f>339.02352*E265*F265</f>
        <v>339.02352</v>
      </c>
      <c r="I265" s="12">
        <f t="shared" si="35"/>
        <v>0</v>
      </c>
      <c r="J265" s="12">
        <f>73.36287288*E265*F265</f>
        <v>73.36287288</v>
      </c>
      <c r="K265" s="12">
        <f>84.980495754*E265*F265</f>
        <v>84.980495754</v>
      </c>
      <c r="L265" s="12">
        <f t="shared" si="36"/>
        <v>0</v>
      </c>
      <c r="M265" s="29">
        <f t="shared" si="34"/>
        <v>570.583328634</v>
      </c>
      <c r="N265" s="14">
        <f t="shared" si="37"/>
        <v>570.583328634</v>
      </c>
    </row>
    <row r="266" spans="2:14" ht="40.5" customHeight="1" thickBot="1" thickTop="1">
      <c r="B266" s="7">
        <v>261</v>
      </c>
      <c r="C266" s="5" t="s">
        <v>378</v>
      </c>
      <c r="D266" s="5" t="s">
        <v>379</v>
      </c>
      <c r="E266" s="9">
        <v>1</v>
      </c>
      <c r="F266" s="9">
        <v>1</v>
      </c>
      <c r="G266" s="12">
        <f>15.456804*E266*F266</f>
        <v>15.456804</v>
      </c>
      <c r="H266" s="12">
        <f>12*E266*F266</f>
        <v>12</v>
      </c>
      <c r="I266" s="12">
        <f t="shared" si="35"/>
        <v>0</v>
      </c>
      <c r="J266" s="12">
        <f>15.487717608*E266*F266</f>
        <v>15.487717608</v>
      </c>
      <c r="K266" s="12">
        <f>7.5152912814*E266*F266</f>
        <v>7.5152912814</v>
      </c>
      <c r="L266" s="12">
        <f t="shared" si="36"/>
        <v>0</v>
      </c>
      <c r="M266" s="29">
        <f t="shared" si="34"/>
        <v>50.4598128894</v>
      </c>
      <c r="N266" s="14">
        <f t="shared" si="37"/>
        <v>50.4598128894</v>
      </c>
    </row>
    <row r="267" spans="2:14" ht="40.5" customHeight="1" thickBot="1" thickTop="1">
      <c r="B267" s="7">
        <v>262</v>
      </c>
      <c r="C267" s="5" t="s">
        <v>380</v>
      </c>
      <c r="D267" s="5" t="s">
        <v>381</v>
      </c>
      <c r="E267" s="9">
        <v>1</v>
      </c>
      <c r="F267" s="9">
        <v>1</v>
      </c>
      <c r="G267" s="12">
        <f>2261.57448*E267*F267</f>
        <v>2261.57448</v>
      </c>
      <c r="H267" s="12">
        <f>5012.28*E267*F267</f>
        <v>5012.28</v>
      </c>
      <c r="I267" s="12">
        <f t="shared" si="35"/>
        <v>0</v>
      </c>
      <c r="J267" s="12">
        <f>2266.09762896*E267*F267</f>
        <v>2266.09762896</v>
      </c>
      <c r="K267" s="12">
        <f>1669.491619068*E267*F267</f>
        <v>1669.491619068</v>
      </c>
      <c r="L267" s="12">
        <f t="shared" si="36"/>
        <v>0</v>
      </c>
      <c r="M267" s="29">
        <f>N267/F267/E267/100</f>
        <v>112.09443728028</v>
      </c>
      <c r="N267" s="14">
        <f t="shared" si="37"/>
        <v>11209.443728028</v>
      </c>
    </row>
    <row r="268" spans="2:14" ht="40.5" customHeight="1" thickBot="1" thickTop="1">
      <c r="B268" s="7">
        <v>263</v>
      </c>
      <c r="C268" s="5" t="s">
        <v>382</v>
      </c>
      <c r="D268" s="5" t="s">
        <v>383</v>
      </c>
      <c r="E268" s="9">
        <v>1</v>
      </c>
      <c r="F268" s="9">
        <v>1</v>
      </c>
      <c r="G268" s="12">
        <f>11389.224*E268*F268</f>
        <v>11389.224</v>
      </c>
      <c r="H268" s="12">
        <f>51.6263616*E268*F268</f>
        <v>51.6263616</v>
      </c>
      <c r="I268" s="12">
        <f t="shared" si="35"/>
        <v>0</v>
      </c>
      <c r="J268" s="12">
        <f>11412.002448*E268*F268</f>
        <v>11412.002448</v>
      </c>
      <c r="K268" s="12">
        <f>3999.24924168*E268*F268</f>
        <v>3999.24924168</v>
      </c>
      <c r="L268" s="12">
        <f t="shared" si="36"/>
        <v>0</v>
      </c>
      <c r="M268" s="29">
        <f aca="true" t="shared" si="38" ref="M268:M275">N268/F268/E268/100</f>
        <v>268.5210205128</v>
      </c>
      <c r="N268" s="14">
        <f t="shared" si="37"/>
        <v>26852.102051280002</v>
      </c>
    </row>
    <row r="269" spans="2:14" ht="40.5" customHeight="1" thickBot="1" thickTop="1">
      <c r="B269" s="7">
        <v>264</v>
      </c>
      <c r="C269" s="5" t="s">
        <v>384</v>
      </c>
      <c r="D269" s="5" t="s">
        <v>102</v>
      </c>
      <c r="E269" s="9">
        <v>1</v>
      </c>
      <c r="F269" s="9">
        <v>1</v>
      </c>
      <c r="G269" s="12">
        <f>4169.28072*E269*F269</f>
        <v>4169.28072</v>
      </c>
      <c r="H269" s="12">
        <f>1959.81984*E269*F269</f>
        <v>1959.81984</v>
      </c>
      <c r="I269" s="12">
        <f t="shared" si="35"/>
        <v>0</v>
      </c>
      <c r="J269" s="12">
        <f>4177.61928144*E269*F269</f>
        <v>4177.61928144</v>
      </c>
      <c r="K269" s="12">
        <f>1803.675972252*E269*F269</f>
        <v>1803.675972252</v>
      </c>
      <c r="L269" s="12">
        <f t="shared" si="36"/>
        <v>0</v>
      </c>
      <c r="M269" s="29">
        <f t="shared" si="38"/>
        <v>121.10395813692001</v>
      </c>
      <c r="N269" s="14">
        <f t="shared" si="37"/>
        <v>12110.395813692001</v>
      </c>
    </row>
    <row r="270" spans="2:14" ht="40.5" customHeight="1" thickBot="1" thickTop="1">
      <c r="B270" s="7">
        <v>265</v>
      </c>
      <c r="C270" s="5" t="s">
        <v>385</v>
      </c>
      <c r="D270" s="5" t="s">
        <v>386</v>
      </c>
      <c r="E270" s="9">
        <v>1</v>
      </c>
      <c r="F270" s="9">
        <v>1</v>
      </c>
      <c r="G270" s="12">
        <f>22.322763038268*E270*F270</f>
        <v>22.322763038268</v>
      </c>
      <c r="H270" s="12">
        <f>301.16313624738*E270*F270</f>
        <v>301.16313624738</v>
      </c>
      <c r="I270" s="12">
        <f t="shared" si="35"/>
        <v>0</v>
      </c>
      <c r="J270" s="12">
        <f>22.367408564345*E270*F270</f>
        <v>22.367408564345</v>
      </c>
      <c r="K270" s="12">
        <f>60.524328873749*E270*F270</f>
        <v>60.524328873749</v>
      </c>
      <c r="L270" s="12">
        <f t="shared" si="36"/>
        <v>0</v>
      </c>
      <c r="M270" s="29">
        <f>N270/F270/E270</f>
        <v>406.37763672374206</v>
      </c>
      <c r="N270" s="14">
        <f t="shared" si="37"/>
        <v>406.37763672374206</v>
      </c>
    </row>
    <row r="271" spans="2:14" ht="40.5" customHeight="1" thickBot="1" thickTop="1">
      <c r="B271" s="7">
        <v>266</v>
      </c>
      <c r="C271" s="5" t="s">
        <v>387</v>
      </c>
      <c r="D271" s="5" t="s">
        <v>388</v>
      </c>
      <c r="E271" s="9">
        <v>1</v>
      </c>
      <c r="F271" s="9">
        <v>1</v>
      </c>
      <c r="G271" s="12">
        <f>3582.0246*E271*F271</f>
        <v>3582.0246</v>
      </c>
      <c r="H271" s="12">
        <f>15702.995880076*E271*F271</f>
        <v>15702.995880076</v>
      </c>
      <c r="I271" s="12">
        <f t="shared" si="35"/>
        <v>0</v>
      </c>
      <c r="J271" s="12">
        <f>3589.1886492*E271*F271</f>
        <v>3589.1886492</v>
      </c>
      <c r="K271" s="12">
        <f>4002.9865976234*E271*F271</f>
        <v>4002.9865976234</v>
      </c>
      <c r="L271" s="12">
        <f t="shared" si="36"/>
        <v>0</v>
      </c>
      <c r="M271" s="29">
        <f t="shared" si="38"/>
        <v>268.771957268994</v>
      </c>
      <c r="N271" s="14">
        <f t="shared" si="37"/>
        <v>26877.1957268994</v>
      </c>
    </row>
    <row r="272" spans="2:14" ht="40.5" customHeight="1" thickBot="1" thickTop="1">
      <c r="B272" s="7">
        <v>267</v>
      </c>
      <c r="C272" s="5" t="s">
        <v>389</v>
      </c>
      <c r="D272" s="5" t="s">
        <v>388</v>
      </c>
      <c r="E272" s="9">
        <v>1</v>
      </c>
      <c r="F272" s="9">
        <v>1</v>
      </c>
      <c r="G272" s="12">
        <f>3582.0246*E272*F272</f>
        <v>3582.0246</v>
      </c>
      <c r="H272" s="12">
        <f>18588.699484493*E272*F272</f>
        <v>18588.699484493</v>
      </c>
      <c r="I272" s="12">
        <f t="shared" si="35"/>
        <v>0</v>
      </c>
      <c r="J272" s="12">
        <f>3589.1886492*E272*F272</f>
        <v>3589.1886492</v>
      </c>
      <c r="K272" s="12">
        <f>4507.9847283962*E272*F272</f>
        <v>4507.9847283962</v>
      </c>
      <c r="L272" s="12">
        <f t="shared" si="36"/>
        <v>0</v>
      </c>
      <c r="M272" s="29">
        <f t="shared" si="38"/>
        <v>302.67897462089206</v>
      </c>
      <c r="N272" s="14">
        <f t="shared" si="37"/>
        <v>30267.897462089204</v>
      </c>
    </row>
    <row r="273" spans="2:14" ht="40.5" customHeight="1" thickBot="1" thickTop="1">
      <c r="B273" s="7">
        <v>268</v>
      </c>
      <c r="C273" s="5" t="s">
        <v>390</v>
      </c>
      <c r="D273" s="5" t="s">
        <v>388</v>
      </c>
      <c r="E273" s="9">
        <v>1</v>
      </c>
      <c r="F273" s="9">
        <v>1</v>
      </c>
      <c r="G273" s="12">
        <f>3582.0246*E273*F273</f>
        <v>3582.0246</v>
      </c>
      <c r="H273" s="12">
        <f>24495.949059125*E273*F273</f>
        <v>24495.949059125</v>
      </c>
      <c r="I273" s="12">
        <f t="shared" si="35"/>
        <v>0</v>
      </c>
      <c r="J273" s="12">
        <f>3589.1886492*E273*F273</f>
        <v>3589.1886492</v>
      </c>
      <c r="K273" s="12">
        <f>5541.7534039568*E273*F273</f>
        <v>5541.7534039568</v>
      </c>
      <c r="L273" s="12">
        <f t="shared" si="36"/>
        <v>0</v>
      </c>
      <c r="M273" s="29">
        <f t="shared" si="38"/>
        <v>372.089157122818</v>
      </c>
      <c r="N273" s="14">
        <f t="shared" si="37"/>
        <v>37208.9157122818</v>
      </c>
    </row>
    <row r="274" spans="2:14" ht="40.5" customHeight="1" thickBot="1" thickTop="1">
      <c r="B274" s="7">
        <v>269</v>
      </c>
      <c r="C274" s="5" t="s">
        <v>391</v>
      </c>
      <c r="D274" s="5" t="s">
        <v>388</v>
      </c>
      <c r="E274" s="9">
        <v>1</v>
      </c>
      <c r="F274" s="9">
        <v>1</v>
      </c>
      <c r="G274" s="12">
        <f>3582.0246*E274*F274</f>
        <v>3582.0246</v>
      </c>
      <c r="H274" s="12">
        <f>14821.316504788*E274*F274</f>
        <v>14821.316504788</v>
      </c>
      <c r="I274" s="12">
        <f t="shared" si="35"/>
        <v>0</v>
      </c>
      <c r="J274" s="12">
        <f>3589.1886492*E274*F274</f>
        <v>3589.1886492</v>
      </c>
      <c r="K274" s="12">
        <f>3848.692706948*E274*F274</f>
        <v>3848.692706948</v>
      </c>
      <c r="L274" s="12">
        <f t="shared" si="36"/>
        <v>0</v>
      </c>
      <c r="M274" s="29">
        <f t="shared" si="38"/>
        <v>258.41222460936</v>
      </c>
      <c r="N274" s="14">
        <f t="shared" si="37"/>
        <v>25841.222460936002</v>
      </c>
    </row>
    <row r="275" spans="2:14" ht="40.5" customHeight="1" thickBot="1" thickTop="1">
      <c r="B275" s="7">
        <v>270</v>
      </c>
      <c r="C275" s="5" t="s">
        <v>392</v>
      </c>
      <c r="D275" s="5" t="s">
        <v>388</v>
      </c>
      <c r="E275" s="9">
        <v>1</v>
      </c>
      <c r="F275" s="9">
        <v>1</v>
      </c>
      <c r="G275" s="12">
        <f>3582.0246*E275*F275</f>
        <v>3582.0246</v>
      </c>
      <c r="H275" s="12">
        <f>12638.717593341*E275*F275</f>
        <v>12638.717593341</v>
      </c>
      <c r="I275" s="12">
        <f t="shared" si="35"/>
        <v>0</v>
      </c>
      <c r="J275" s="12">
        <f>3589.1886492*E275*F275</f>
        <v>3589.1886492</v>
      </c>
      <c r="K275" s="12">
        <f>3466.7378974447*E275*F275</f>
        <v>3466.7378974447</v>
      </c>
      <c r="L275" s="12">
        <f t="shared" si="36"/>
        <v>0</v>
      </c>
      <c r="M275" s="29">
        <f t="shared" si="38"/>
        <v>232.76668739985703</v>
      </c>
      <c r="N275" s="14">
        <f t="shared" si="37"/>
        <v>23276.668739985704</v>
      </c>
    </row>
    <row r="276" spans="2:14" ht="40.5" customHeight="1" thickBot="1" thickTop="1">
      <c r="B276" s="7">
        <v>271</v>
      </c>
      <c r="C276" s="5" t="s">
        <v>393</v>
      </c>
      <c r="D276" s="5" t="s">
        <v>394</v>
      </c>
      <c r="E276" s="9">
        <v>1</v>
      </c>
      <c r="F276" s="9">
        <v>1</v>
      </c>
      <c r="G276" s="12">
        <f>154.182798*E276*F276</f>
        <v>154.182798</v>
      </c>
      <c r="H276" s="12">
        <f>788.1419926008*E276*F276</f>
        <v>788.1419926008</v>
      </c>
      <c r="I276" s="12">
        <f t="shared" si="35"/>
        <v>0</v>
      </c>
      <c r="J276" s="12">
        <f>154.491163596*E276*F276</f>
        <v>154.491163596</v>
      </c>
      <c r="K276" s="12">
        <f>191.94279198444*E276*F276</f>
        <v>191.94279198444</v>
      </c>
      <c r="L276" s="12">
        <f t="shared" si="36"/>
        <v>0</v>
      </c>
      <c r="M276" s="29">
        <f>N276/F276/E276/100</f>
        <v>12.8875874618124</v>
      </c>
      <c r="N276" s="14">
        <f t="shared" si="37"/>
        <v>1288.75874618124</v>
      </c>
    </row>
    <row r="277" spans="2:14" ht="40.5" customHeight="1" thickBot="1" thickTop="1">
      <c r="B277" s="7">
        <v>272</v>
      </c>
      <c r="C277" s="5" t="s">
        <v>395</v>
      </c>
      <c r="D277" s="5" t="s">
        <v>396</v>
      </c>
      <c r="E277" s="9">
        <v>1</v>
      </c>
      <c r="F277" s="9">
        <v>1</v>
      </c>
      <c r="G277" s="12">
        <f>249.2028*E277*F277</f>
        <v>249.2028</v>
      </c>
      <c r="H277" s="12">
        <f>76.78259712*E277*F277</f>
        <v>76.78259712</v>
      </c>
      <c r="I277" s="12">
        <f t="shared" si="35"/>
        <v>0</v>
      </c>
      <c r="J277" s="12">
        <f>249.7012056*E277*F277</f>
        <v>249.7012056</v>
      </c>
      <c r="K277" s="12">
        <f>100.745155476*E277*F277</f>
        <v>100.745155476</v>
      </c>
      <c r="L277" s="12">
        <f t="shared" si="36"/>
        <v>0</v>
      </c>
      <c r="M277" s="29">
        <f>N277/F277/E277/100</f>
        <v>6.76431758196</v>
      </c>
      <c r="N277" s="14">
        <f t="shared" si="37"/>
        <v>676.431758196</v>
      </c>
    </row>
    <row r="278" spans="2:14" ht="40.5" customHeight="1" thickBot="1" thickTop="1">
      <c r="B278" s="7">
        <v>273</v>
      </c>
      <c r="C278" s="5" t="s">
        <v>397</v>
      </c>
      <c r="D278" s="5" t="s">
        <v>396</v>
      </c>
      <c r="E278" s="9">
        <v>1</v>
      </c>
      <c r="F278" s="9">
        <v>1</v>
      </c>
      <c r="G278" s="12">
        <f>45.164658*E278*F278</f>
        <v>45.164658</v>
      </c>
      <c r="H278" s="12">
        <f>1.55122886016*E278*F278</f>
        <v>1.55122886016</v>
      </c>
      <c r="I278" s="12">
        <f t="shared" si="35"/>
        <v>0</v>
      </c>
      <c r="J278" s="12">
        <f>45.254987316*E278*F278</f>
        <v>45.254987316</v>
      </c>
      <c r="K278" s="12">
        <f>16.094902980828*E278*F278</f>
        <v>16.094902980828</v>
      </c>
      <c r="L278" s="12">
        <f t="shared" si="36"/>
        <v>0</v>
      </c>
      <c r="M278" s="29">
        <f>N278/F278/E278/100</f>
        <v>1.08065777156988</v>
      </c>
      <c r="N278" s="14">
        <f t="shared" si="37"/>
        <v>108.065777156988</v>
      </c>
    </row>
    <row r="279" spans="2:14" ht="40.5" customHeight="1" thickBot="1" thickTop="1">
      <c r="B279" s="7">
        <v>274</v>
      </c>
      <c r="C279" s="5" t="s">
        <v>398</v>
      </c>
      <c r="D279" s="5" t="s">
        <v>399</v>
      </c>
      <c r="E279" s="9">
        <v>1</v>
      </c>
      <c r="F279" s="9">
        <v>1</v>
      </c>
      <c r="G279" s="12">
        <f>5710.88232*E279*F279</f>
        <v>5710.88232</v>
      </c>
      <c r="H279" s="12">
        <f>3908.549020896*E279*F279</f>
        <v>3908.549020896</v>
      </c>
      <c r="I279" s="12">
        <f t="shared" si="35"/>
        <v>0</v>
      </c>
      <c r="J279" s="12">
        <f>5722.30408464*E279*F279</f>
        <v>5722.30408464</v>
      </c>
      <c r="K279" s="12">
        <f>2684.8036994688*E279*F279</f>
        <v>2684.8036994688</v>
      </c>
      <c r="L279" s="12">
        <f t="shared" si="36"/>
        <v>0</v>
      </c>
      <c r="M279" s="29">
        <f>N279/F279/E279/100</f>
        <v>180.26539125004803</v>
      </c>
      <c r="N279" s="14">
        <f t="shared" si="37"/>
        <v>18026.5391250048</v>
      </c>
    </row>
    <row r="280" spans="2:14" ht="40.5" customHeight="1" thickBot="1" thickTop="1">
      <c r="B280" s="7">
        <v>275</v>
      </c>
      <c r="C280" s="5" t="s">
        <v>400</v>
      </c>
      <c r="D280" s="5" t="s">
        <v>401</v>
      </c>
      <c r="E280" s="9">
        <v>1</v>
      </c>
      <c r="F280" s="9">
        <v>1</v>
      </c>
      <c r="G280" s="12">
        <f>7491.3408*E280*F280</f>
        <v>7491.3408</v>
      </c>
      <c r="H280" s="12">
        <f>43035.195284438*E280*F280</f>
        <v>43035.195284438</v>
      </c>
      <c r="I280" s="12">
        <f t="shared" si="35"/>
        <v>0</v>
      </c>
      <c r="J280" s="12">
        <f>7506.3234816*E280*F280</f>
        <v>7506.3234816</v>
      </c>
      <c r="K280" s="12">
        <f>10155.750424057*E280*F280</f>
        <v>10155.750424057</v>
      </c>
      <c r="L280" s="12">
        <f t="shared" si="36"/>
        <v>0</v>
      </c>
      <c r="M280" s="29">
        <f>N280/F280/E280/100</f>
        <v>681.88609990095</v>
      </c>
      <c r="N280" s="14">
        <f t="shared" si="37"/>
        <v>68188.60999009499</v>
      </c>
    </row>
    <row r="281" spans="2:14" ht="40.5" customHeight="1" thickBot="1" thickTop="1">
      <c r="B281" s="7">
        <v>276</v>
      </c>
      <c r="C281" s="5" t="s">
        <v>402</v>
      </c>
      <c r="D281" s="5" t="s">
        <v>403</v>
      </c>
      <c r="E281" s="9">
        <v>1</v>
      </c>
      <c r="F281" s="9">
        <v>1</v>
      </c>
      <c r="G281" s="12">
        <f>63.454248*E281*F281</f>
        <v>63.454248</v>
      </c>
      <c r="H281" s="12">
        <f aca="true" t="shared" si="39" ref="H281:H295">0*E281*F281</f>
        <v>0</v>
      </c>
      <c r="I281" s="12">
        <f t="shared" si="35"/>
        <v>0</v>
      </c>
      <c r="J281" s="12">
        <f>63.581156496*E281*F281</f>
        <v>63.581156496</v>
      </c>
      <c r="K281" s="12">
        <f>22.2311957868*E281*F281</f>
        <v>22.2311957868</v>
      </c>
      <c r="L281" s="12">
        <f t="shared" si="36"/>
        <v>0</v>
      </c>
      <c r="M281" s="29">
        <f>N281/F281/E281/1000</f>
        <v>0.1492666002828</v>
      </c>
      <c r="N281" s="14">
        <f t="shared" si="37"/>
        <v>149.2666002828</v>
      </c>
    </row>
    <row r="282" spans="2:14" ht="40.5" customHeight="1" thickBot="1" thickTop="1">
      <c r="B282" s="7">
        <v>277</v>
      </c>
      <c r="C282" s="5" t="s">
        <v>404</v>
      </c>
      <c r="D282" s="5" t="s">
        <v>403</v>
      </c>
      <c r="E282" s="9">
        <v>1</v>
      </c>
      <c r="F282" s="9">
        <v>1</v>
      </c>
      <c r="G282" s="12">
        <f>506.006952*E282*F282</f>
        <v>506.006952</v>
      </c>
      <c r="H282" s="12">
        <f t="shared" si="39"/>
        <v>0</v>
      </c>
      <c r="I282" s="12">
        <f t="shared" si="35"/>
        <v>0</v>
      </c>
      <c r="J282" s="12">
        <f>507.018965904*E282*F282</f>
        <v>507.018965904</v>
      </c>
      <c r="K282" s="12">
        <f>177.2795356332*E282*F282</f>
        <v>177.2795356332</v>
      </c>
      <c r="L282" s="12">
        <f t="shared" si="36"/>
        <v>0</v>
      </c>
      <c r="M282" s="29">
        <f aca="true" t="shared" si="40" ref="M282:M292">N282/F282/E282/1000</f>
        <v>1.1903054535372</v>
      </c>
      <c r="N282" s="14">
        <f t="shared" si="37"/>
        <v>1190.3054535372</v>
      </c>
    </row>
    <row r="283" spans="2:14" ht="40.5" customHeight="1" thickBot="1" thickTop="1">
      <c r="B283" s="7">
        <v>278</v>
      </c>
      <c r="C283" s="5" t="s">
        <v>405</v>
      </c>
      <c r="D283" s="5" t="s">
        <v>403</v>
      </c>
      <c r="E283" s="9">
        <v>1</v>
      </c>
      <c r="F283" s="9">
        <v>1</v>
      </c>
      <c r="G283" s="12">
        <f>1798.23336*E283*F283</f>
        <v>1798.23336</v>
      </c>
      <c r="H283" s="12">
        <f t="shared" si="39"/>
        <v>0</v>
      </c>
      <c r="I283" s="12">
        <f t="shared" si="35"/>
        <v>0</v>
      </c>
      <c r="J283" s="12">
        <f>1801.82982672*E283*F283</f>
        <v>1801.82982672</v>
      </c>
      <c r="K283" s="12">
        <f>630.011057676*E283*F283</f>
        <v>630.011057676</v>
      </c>
      <c r="L283" s="12">
        <f t="shared" si="36"/>
        <v>0</v>
      </c>
      <c r="M283" s="29">
        <f t="shared" si="40"/>
        <v>4.2300742443959995</v>
      </c>
      <c r="N283" s="14">
        <f t="shared" si="37"/>
        <v>4230.074244396</v>
      </c>
    </row>
    <row r="284" spans="2:14" ht="40.5" customHeight="1" thickBot="1" thickTop="1">
      <c r="B284" s="7">
        <v>279</v>
      </c>
      <c r="C284" s="5" t="s">
        <v>406</v>
      </c>
      <c r="D284" s="5" t="s">
        <v>403</v>
      </c>
      <c r="E284" s="9">
        <v>1</v>
      </c>
      <c r="F284" s="9">
        <v>1</v>
      </c>
      <c r="G284" s="12">
        <f>458.733*E284*F284</f>
        <v>458.733</v>
      </c>
      <c r="H284" s="12">
        <f t="shared" si="39"/>
        <v>0</v>
      </c>
      <c r="I284" s="12">
        <f t="shared" si="35"/>
        <v>0</v>
      </c>
      <c r="J284" s="12">
        <f>459.650466*E284*F284</f>
        <v>459.650466</v>
      </c>
      <c r="K284" s="12">
        <f>160.71710655*E284*F284</f>
        <v>160.71710655</v>
      </c>
      <c r="L284" s="12">
        <f t="shared" si="36"/>
        <v>0</v>
      </c>
      <c r="M284" s="29">
        <f t="shared" si="40"/>
        <v>1.07910057255</v>
      </c>
      <c r="N284" s="14">
        <f t="shared" si="37"/>
        <v>1079.10057255</v>
      </c>
    </row>
    <row r="285" spans="2:14" ht="40.5" customHeight="1" thickBot="1" thickTop="1">
      <c r="B285" s="7">
        <v>280</v>
      </c>
      <c r="C285" s="5" t="s">
        <v>407</v>
      </c>
      <c r="D285" s="5" t="s">
        <v>408</v>
      </c>
      <c r="E285" s="9">
        <v>1</v>
      </c>
      <c r="F285" s="9">
        <v>1</v>
      </c>
      <c r="G285" s="12">
        <f>385.33572*E285*F285</f>
        <v>385.33572</v>
      </c>
      <c r="H285" s="12">
        <f t="shared" si="39"/>
        <v>0</v>
      </c>
      <c r="I285" s="12">
        <f t="shared" si="35"/>
        <v>0</v>
      </c>
      <c r="J285" s="12">
        <f>386.10639144*E285*F285</f>
        <v>386.10639144</v>
      </c>
      <c r="K285" s="12">
        <f>135.002369502*E285*F285</f>
        <v>135.002369502</v>
      </c>
      <c r="L285" s="12">
        <f t="shared" si="36"/>
        <v>0</v>
      </c>
      <c r="M285" s="29">
        <f t="shared" si="40"/>
        <v>0.9064444809419999</v>
      </c>
      <c r="N285" s="14">
        <f t="shared" si="37"/>
        <v>906.4444809419999</v>
      </c>
    </row>
    <row r="286" spans="2:14" ht="40.5" customHeight="1" thickBot="1" thickTop="1">
      <c r="B286" s="7">
        <v>281</v>
      </c>
      <c r="C286" s="5" t="s">
        <v>409</v>
      </c>
      <c r="D286" s="5" t="s">
        <v>408</v>
      </c>
      <c r="E286" s="9">
        <v>1</v>
      </c>
      <c r="F286" s="9">
        <v>1</v>
      </c>
      <c r="G286" s="12">
        <f>251.385684*E286*F286</f>
        <v>251.385684</v>
      </c>
      <c r="H286" s="12">
        <f t="shared" si="39"/>
        <v>0</v>
      </c>
      <c r="I286" s="12">
        <f t="shared" si="35"/>
        <v>0</v>
      </c>
      <c r="J286" s="12">
        <f>251.888455368*E286*F286</f>
        <v>251.888455368</v>
      </c>
      <c r="K286" s="12">
        <f>88.0729743894*E286*F286</f>
        <v>88.0729743894</v>
      </c>
      <c r="L286" s="12">
        <f t="shared" si="36"/>
        <v>0</v>
      </c>
      <c r="M286" s="29">
        <f t="shared" si="40"/>
        <v>0.5913471137573999</v>
      </c>
      <c r="N286" s="14">
        <f t="shared" si="37"/>
        <v>591.3471137573999</v>
      </c>
    </row>
    <row r="287" spans="2:14" ht="40.5" customHeight="1" thickBot="1" thickTop="1">
      <c r="B287" s="7">
        <v>282</v>
      </c>
      <c r="C287" s="5" t="s">
        <v>410</v>
      </c>
      <c r="D287" s="5" t="s">
        <v>408</v>
      </c>
      <c r="E287" s="9">
        <v>1</v>
      </c>
      <c r="F287" s="9">
        <v>1</v>
      </c>
      <c r="G287" s="12">
        <f>205.512384*E287*F287</f>
        <v>205.512384</v>
      </c>
      <c r="H287" s="12">
        <f t="shared" si="39"/>
        <v>0</v>
      </c>
      <c r="I287" s="12">
        <f t="shared" si="35"/>
        <v>0</v>
      </c>
      <c r="J287" s="12">
        <f>205.923408768*E287*F287</f>
        <v>205.923408768</v>
      </c>
      <c r="K287" s="12">
        <f>72.0012637344*E287*F287</f>
        <v>72.0012637344</v>
      </c>
      <c r="L287" s="12">
        <f t="shared" si="36"/>
        <v>0</v>
      </c>
      <c r="M287" s="29">
        <f t="shared" si="40"/>
        <v>0.4834370565024</v>
      </c>
      <c r="N287" s="14">
        <f t="shared" si="37"/>
        <v>483.43705650239997</v>
      </c>
    </row>
    <row r="288" spans="2:14" ht="40.5" customHeight="1" thickBot="1" thickTop="1">
      <c r="B288" s="7">
        <v>283</v>
      </c>
      <c r="C288" s="5" t="s">
        <v>411</v>
      </c>
      <c r="D288" s="5" t="s">
        <v>403</v>
      </c>
      <c r="E288" s="9">
        <v>1</v>
      </c>
      <c r="F288" s="9">
        <v>1</v>
      </c>
      <c r="G288" s="12">
        <f>733.9728*E288*F288</f>
        <v>733.9728</v>
      </c>
      <c r="H288" s="12">
        <f t="shared" si="39"/>
        <v>0</v>
      </c>
      <c r="I288" s="12">
        <f t="shared" si="35"/>
        <v>0</v>
      </c>
      <c r="J288" s="12">
        <f>735.4407456*E288*F288</f>
        <v>735.4407456</v>
      </c>
      <c r="K288" s="12">
        <f>257.14737048*E288*F288</f>
        <v>257.14737048</v>
      </c>
      <c r="L288" s="12">
        <f t="shared" si="36"/>
        <v>0</v>
      </c>
      <c r="M288" s="29">
        <f t="shared" si="40"/>
        <v>1.72656091608</v>
      </c>
      <c r="N288" s="14">
        <f t="shared" si="37"/>
        <v>1726.56091608</v>
      </c>
    </row>
    <row r="289" spans="2:14" ht="40.5" customHeight="1" thickBot="1" thickTop="1">
      <c r="B289" s="7">
        <v>284</v>
      </c>
      <c r="C289" s="5" t="s">
        <v>412</v>
      </c>
      <c r="D289" s="5" t="s">
        <v>403</v>
      </c>
      <c r="E289" s="9">
        <v>1</v>
      </c>
      <c r="F289" s="9">
        <v>1</v>
      </c>
      <c r="G289" s="12">
        <f>550.4796*E289*F289</f>
        <v>550.4796</v>
      </c>
      <c r="H289" s="12">
        <f t="shared" si="39"/>
        <v>0</v>
      </c>
      <c r="I289" s="12">
        <f t="shared" si="35"/>
        <v>0</v>
      </c>
      <c r="J289" s="12">
        <f>551.5805592*E289*F289</f>
        <v>551.5805592</v>
      </c>
      <c r="K289" s="12">
        <f>192.86052786*E289*F289</f>
        <v>192.86052786</v>
      </c>
      <c r="L289" s="12">
        <f t="shared" si="36"/>
        <v>0</v>
      </c>
      <c r="M289" s="29">
        <f t="shared" si="40"/>
        <v>1.29492068706</v>
      </c>
      <c r="N289" s="14">
        <f t="shared" si="37"/>
        <v>1294.92068706</v>
      </c>
    </row>
    <row r="290" spans="2:14" ht="40.5" customHeight="1" thickBot="1" thickTop="1">
      <c r="B290" s="7">
        <v>285</v>
      </c>
      <c r="C290" s="5" t="s">
        <v>413</v>
      </c>
      <c r="D290" s="5" t="s">
        <v>414</v>
      </c>
      <c r="E290" s="9">
        <v>1</v>
      </c>
      <c r="F290" s="9">
        <v>1</v>
      </c>
      <c r="G290" s="12">
        <f>550.4796*E290*F290</f>
        <v>550.4796</v>
      </c>
      <c r="H290" s="12">
        <f t="shared" si="39"/>
        <v>0</v>
      </c>
      <c r="I290" s="12">
        <f t="shared" si="35"/>
        <v>0</v>
      </c>
      <c r="J290" s="12">
        <f>551.5805592*E290*F290</f>
        <v>551.5805592</v>
      </c>
      <c r="K290" s="12">
        <f>192.86052786*E290*F290</f>
        <v>192.86052786</v>
      </c>
      <c r="L290" s="12">
        <f t="shared" si="36"/>
        <v>0</v>
      </c>
      <c r="M290" s="29">
        <f t="shared" si="40"/>
        <v>1.29492068706</v>
      </c>
      <c r="N290" s="14">
        <f t="shared" si="37"/>
        <v>1294.92068706</v>
      </c>
    </row>
    <row r="291" spans="2:14" ht="40.5" customHeight="1" thickBot="1" thickTop="1">
      <c r="B291" s="7">
        <v>286</v>
      </c>
      <c r="C291" s="5" t="s">
        <v>415</v>
      </c>
      <c r="D291" s="5" t="s">
        <v>414</v>
      </c>
      <c r="E291" s="9">
        <v>1</v>
      </c>
      <c r="F291" s="9">
        <v>1</v>
      </c>
      <c r="G291" s="12">
        <f>513.78096*E291*F291</f>
        <v>513.78096</v>
      </c>
      <c r="H291" s="12">
        <f t="shared" si="39"/>
        <v>0</v>
      </c>
      <c r="I291" s="12">
        <f t="shared" si="35"/>
        <v>0</v>
      </c>
      <c r="J291" s="12">
        <f>514.80852192*E291*F291</f>
        <v>514.80852192</v>
      </c>
      <c r="K291" s="12">
        <f>180.003159336*E291*F291</f>
        <v>180.003159336</v>
      </c>
      <c r="L291" s="12">
        <f t="shared" si="36"/>
        <v>0</v>
      </c>
      <c r="M291" s="29">
        <f t="shared" si="40"/>
        <v>1.208592641256</v>
      </c>
      <c r="N291" s="14">
        <f t="shared" si="37"/>
        <v>1208.592641256</v>
      </c>
    </row>
    <row r="292" spans="2:14" ht="40.5" customHeight="1" thickBot="1" thickTop="1">
      <c r="B292" s="7">
        <v>287</v>
      </c>
      <c r="C292" s="5" t="s">
        <v>416</v>
      </c>
      <c r="D292" s="5" t="s">
        <v>414</v>
      </c>
      <c r="E292" s="9">
        <v>1</v>
      </c>
      <c r="F292" s="9">
        <v>1</v>
      </c>
      <c r="G292" s="12">
        <f>477.08232*E292*F292</f>
        <v>477.08232</v>
      </c>
      <c r="H292" s="12">
        <f t="shared" si="39"/>
        <v>0</v>
      </c>
      <c r="I292" s="12">
        <f aca="true" t="shared" si="41" ref="I292:I305">0*E292*F292</f>
        <v>0</v>
      </c>
      <c r="J292" s="12">
        <f>478.03648464*E292*F292</f>
        <v>478.03648464</v>
      </c>
      <c r="K292" s="12">
        <f>167.145790812*E292*F292</f>
        <v>167.145790812</v>
      </c>
      <c r="L292" s="12">
        <f t="shared" si="36"/>
        <v>0</v>
      </c>
      <c r="M292" s="29">
        <f t="shared" si="40"/>
        <v>1.122264595452</v>
      </c>
      <c r="N292" s="14">
        <f t="shared" si="37"/>
        <v>1122.264595452</v>
      </c>
    </row>
    <row r="293" spans="2:14" ht="40.5" customHeight="1" thickBot="1" thickTop="1">
      <c r="B293" s="7">
        <v>288</v>
      </c>
      <c r="C293" s="5" t="s">
        <v>417</v>
      </c>
      <c r="D293" s="5" t="s">
        <v>418</v>
      </c>
      <c r="E293" s="9">
        <v>1</v>
      </c>
      <c r="F293" s="9">
        <v>1</v>
      </c>
      <c r="G293" s="12">
        <f>822.049536*E293*F293</f>
        <v>822.049536</v>
      </c>
      <c r="H293" s="12">
        <f t="shared" si="39"/>
        <v>0</v>
      </c>
      <c r="I293" s="12">
        <f t="shared" si="41"/>
        <v>0</v>
      </c>
      <c r="J293" s="12">
        <f>823.693635072*E293*F293</f>
        <v>823.693635072</v>
      </c>
      <c r="K293" s="12">
        <f>288.0050549376*E293*F293</f>
        <v>288.0050549376</v>
      </c>
      <c r="L293" s="12">
        <f t="shared" si="36"/>
        <v>0</v>
      </c>
      <c r="M293" s="29">
        <f>N293/F293/E293/100</f>
        <v>19.337482260096</v>
      </c>
      <c r="N293" s="14">
        <f t="shared" si="37"/>
        <v>1933.7482260095999</v>
      </c>
    </row>
    <row r="294" spans="2:14" ht="40.5" customHeight="1" thickBot="1" thickTop="1">
      <c r="B294" s="7">
        <v>289</v>
      </c>
      <c r="C294" s="5" t="s">
        <v>419</v>
      </c>
      <c r="D294" s="5" t="s">
        <v>420</v>
      </c>
      <c r="E294" s="9">
        <v>1</v>
      </c>
      <c r="F294" s="9">
        <v>1</v>
      </c>
      <c r="G294" s="12">
        <f>1662*E294*F294</f>
        <v>1662</v>
      </c>
      <c r="H294" s="12">
        <f t="shared" si="39"/>
        <v>0</v>
      </c>
      <c r="I294" s="12">
        <f t="shared" si="41"/>
        <v>0</v>
      </c>
      <c r="J294" s="12">
        <f>1665.324*E294*F294</f>
        <v>1665.324</v>
      </c>
      <c r="K294" s="12">
        <f>582.2817*E294*F294</f>
        <v>582.2817</v>
      </c>
      <c r="L294" s="12">
        <f t="shared" si="36"/>
        <v>0</v>
      </c>
      <c r="M294" s="29">
        <f aca="true" t="shared" si="42" ref="M294:M301">N294/F294/E294/100</f>
        <v>39.096057</v>
      </c>
      <c r="N294" s="14">
        <f t="shared" si="37"/>
        <v>3909.6057</v>
      </c>
    </row>
    <row r="295" spans="2:14" ht="40.5" customHeight="1" thickBot="1" thickTop="1">
      <c r="B295" s="7">
        <v>290</v>
      </c>
      <c r="C295" s="5" t="s">
        <v>421</v>
      </c>
      <c r="D295" s="5" t="s">
        <v>422</v>
      </c>
      <c r="E295" s="9">
        <v>1</v>
      </c>
      <c r="F295" s="9">
        <v>1</v>
      </c>
      <c r="G295" s="12">
        <f>24.099*E295*F295</f>
        <v>24.099</v>
      </c>
      <c r="H295" s="12">
        <f t="shared" si="39"/>
        <v>0</v>
      </c>
      <c r="I295" s="12">
        <f t="shared" si="41"/>
        <v>0</v>
      </c>
      <c r="J295" s="12">
        <f>24.147198*E295*F295</f>
        <v>24.147198</v>
      </c>
      <c r="K295" s="12">
        <f>8.44308465*E295*F295</f>
        <v>8.44308465</v>
      </c>
      <c r="L295" s="12">
        <f t="shared" si="36"/>
        <v>0</v>
      </c>
      <c r="M295" s="29">
        <f t="shared" si="42"/>
        <v>0.5668928265</v>
      </c>
      <c r="N295" s="14">
        <f t="shared" si="37"/>
        <v>56.689282649999996</v>
      </c>
    </row>
    <row r="296" spans="2:14" ht="40.5" customHeight="1" thickBot="1" thickTop="1">
      <c r="B296" s="7">
        <v>291</v>
      </c>
      <c r="C296" s="5" t="s">
        <v>423</v>
      </c>
      <c r="D296" s="5" t="s">
        <v>424</v>
      </c>
      <c r="E296" s="9">
        <v>1</v>
      </c>
      <c r="F296" s="9">
        <v>1</v>
      </c>
      <c r="G296" s="12">
        <f>5762.3874*E296*F296</f>
        <v>5762.3874</v>
      </c>
      <c r="H296" s="12">
        <f>1066.2393132*E296*F296</f>
        <v>1066.2393132</v>
      </c>
      <c r="I296" s="12">
        <f t="shared" si="41"/>
        <v>0</v>
      </c>
      <c r="J296" s="12">
        <f>5773.9121748*E296*F296</f>
        <v>5773.9121748</v>
      </c>
      <c r="K296" s="12">
        <f>2205.4443054*E296*F296</f>
        <v>2205.4443054</v>
      </c>
      <c r="L296" s="12">
        <f t="shared" si="36"/>
        <v>0</v>
      </c>
      <c r="M296" s="29">
        <f t="shared" si="42"/>
        <v>148.079831934</v>
      </c>
      <c r="N296" s="14">
        <f t="shared" si="37"/>
        <v>14807.9831934</v>
      </c>
    </row>
    <row r="297" spans="2:14" ht="40.5" customHeight="1" thickBot="1" thickTop="1">
      <c r="B297" s="7">
        <v>292</v>
      </c>
      <c r="C297" s="5" t="s">
        <v>425</v>
      </c>
      <c r="D297" s="5" t="s">
        <v>403</v>
      </c>
      <c r="E297" s="9">
        <v>1</v>
      </c>
      <c r="F297" s="9">
        <v>1</v>
      </c>
      <c r="G297" s="12">
        <f>683.35344*E297*F297</f>
        <v>683.35344</v>
      </c>
      <c r="H297" s="12">
        <f>0*E297*F297</f>
        <v>0</v>
      </c>
      <c r="I297" s="12">
        <f t="shared" si="41"/>
        <v>0</v>
      </c>
      <c r="J297" s="12">
        <f>684.72014688*E297*F297</f>
        <v>684.72014688</v>
      </c>
      <c r="K297" s="12">
        <f>239.412877704*E297*F297</f>
        <v>239.412877704</v>
      </c>
      <c r="L297" s="12">
        <f t="shared" si="36"/>
        <v>0</v>
      </c>
      <c r="M297" s="29">
        <f>N297/F297/E297/1000</f>
        <v>1.6074864645840001</v>
      </c>
      <c r="N297" s="14">
        <f t="shared" si="37"/>
        <v>1607.486464584</v>
      </c>
    </row>
    <row r="298" spans="2:14" ht="40.5" customHeight="1" thickBot="1" thickTop="1">
      <c r="B298" s="7">
        <v>293</v>
      </c>
      <c r="C298" s="5" t="s">
        <v>426</v>
      </c>
      <c r="D298" s="5" t="s">
        <v>427</v>
      </c>
      <c r="E298" s="9">
        <v>1</v>
      </c>
      <c r="F298" s="9">
        <v>1</v>
      </c>
      <c r="G298" s="12">
        <f>701.91*E298*F298</f>
        <v>701.91</v>
      </c>
      <c r="H298" s="12">
        <f>0*E298*F298</f>
        <v>0</v>
      </c>
      <c r="I298" s="12">
        <f t="shared" si="41"/>
        <v>0</v>
      </c>
      <c r="J298" s="12">
        <f>703.31382*E298*F298</f>
        <v>703.31382</v>
      </c>
      <c r="K298" s="12">
        <f>245.9141685*E298*F298</f>
        <v>245.9141685</v>
      </c>
      <c r="L298" s="12">
        <f t="shared" si="36"/>
        <v>0</v>
      </c>
      <c r="M298" s="29">
        <f t="shared" si="42"/>
        <v>16.511379885</v>
      </c>
      <c r="N298" s="14">
        <f t="shared" si="37"/>
        <v>1651.1379885</v>
      </c>
    </row>
    <row r="299" spans="2:14" ht="40.5" customHeight="1" thickBot="1" thickTop="1">
      <c r="B299" s="7">
        <v>294</v>
      </c>
      <c r="C299" s="5" t="s">
        <v>428</v>
      </c>
      <c r="D299" s="5" t="s">
        <v>429</v>
      </c>
      <c r="E299" s="9">
        <v>1</v>
      </c>
      <c r="F299" s="9">
        <v>1</v>
      </c>
      <c r="G299" s="12">
        <f>38.995*E299*F299</f>
        <v>38.995</v>
      </c>
      <c r="H299" s="12">
        <f>0*E299*F299</f>
        <v>0</v>
      </c>
      <c r="I299" s="12">
        <f t="shared" si="41"/>
        <v>0</v>
      </c>
      <c r="J299" s="12">
        <f>39.07299*E299*F299</f>
        <v>39.07299</v>
      </c>
      <c r="K299" s="12">
        <f>13.66189825*E299*F299</f>
        <v>13.66189825</v>
      </c>
      <c r="L299" s="12">
        <f t="shared" si="36"/>
        <v>0</v>
      </c>
      <c r="M299" s="29">
        <f>N299/F299/E299</f>
        <v>91.72988824999999</v>
      </c>
      <c r="N299" s="14">
        <f t="shared" si="37"/>
        <v>91.72988824999999</v>
      </c>
    </row>
    <row r="300" spans="2:14" ht="40.5" customHeight="1" thickBot="1" thickTop="1">
      <c r="B300" s="7">
        <v>295</v>
      </c>
      <c r="C300" s="5" t="s">
        <v>430</v>
      </c>
      <c r="D300" s="5" t="s">
        <v>92</v>
      </c>
      <c r="E300" s="9">
        <v>1</v>
      </c>
      <c r="F300" s="9">
        <v>1</v>
      </c>
      <c r="G300" s="12">
        <f>813.516*E300*F300</f>
        <v>813.516</v>
      </c>
      <c r="H300" s="12">
        <f>537.157296*E300*F300</f>
        <v>537.157296</v>
      </c>
      <c r="I300" s="12">
        <f t="shared" si="41"/>
        <v>0</v>
      </c>
      <c r="J300" s="12">
        <f>815.143032*E300*F300</f>
        <v>815.143032</v>
      </c>
      <c r="K300" s="12">
        <f>379.0178574*E300*F300</f>
        <v>379.0178574</v>
      </c>
      <c r="L300" s="12">
        <f t="shared" si="36"/>
        <v>0</v>
      </c>
      <c r="M300" s="29">
        <f t="shared" si="42"/>
        <v>25.448341854</v>
      </c>
      <c r="N300" s="14">
        <f t="shared" si="37"/>
        <v>2544.8341854</v>
      </c>
    </row>
    <row r="301" spans="2:14" ht="40.5" customHeight="1" thickBot="1" thickTop="1">
      <c r="B301" s="7">
        <v>296</v>
      </c>
      <c r="C301" s="5" t="s">
        <v>431</v>
      </c>
      <c r="D301" s="5" t="s">
        <v>92</v>
      </c>
      <c r="E301" s="9">
        <v>1</v>
      </c>
      <c r="F301" s="9">
        <v>1</v>
      </c>
      <c r="G301" s="12">
        <f>325.4064*E301*F301</f>
        <v>325.4064</v>
      </c>
      <c r="H301" s="12">
        <f aca="true" t="shared" si="43" ref="H301:H306">0*E301*F301</f>
        <v>0</v>
      </c>
      <c r="I301" s="12">
        <f t="shared" si="41"/>
        <v>0</v>
      </c>
      <c r="J301" s="12">
        <f>326.0572128*E301*F301</f>
        <v>326.0572128</v>
      </c>
      <c r="K301" s="12">
        <f>114.00613224*E301*F301</f>
        <v>114.00613224</v>
      </c>
      <c r="L301" s="12">
        <f t="shared" si="36"/>
        <v>0</v>
      </c>
      <c r="M301" s="29">
        <f t="shared" si="42"/>
        <v>7.654697450399999</v>
      </c>
      <c r="N301" s="14">
        <f t="shared" si="37"/>
        <v>765.4697450399999</v>
      </c>
    </row>
    <row r="302" spans="2:14" ht="40.5" customHeight="1" thickBot="1" thickTop="1">
      <c r="B302" s="7">
        <v>297</v>
      </c>
      <c r="C302" s="5" t="s">
        <v>432</v>
      </c>
      <c r="D302" s="5" t="s">
        <v>433</v>
      </c>
      <c r="E302" s="9">
        <v>1</v>
      </c>
      <c r="F302" s="9">
        <v>1</v>
      </c>
      <c r="G302" s="12">
        <f>19.7574664067*E302*F302</f>
        <v>19.7574664067</v>
      </c>
      <c r="H302" s="12">
        <f t="shared" si="43"/>
        <v>0</v>
      </c>
      <c r="I302" s="12">
        <f t="shared" si="41"/>
        <v>0</v>
      </c>
      <c r="J302" s="12">
        <f>19.796981339513*E302*F302</f>
        <v>19.796981339513</v>
      </c>
      <c r="K302" s="12">
        <f>6.9220283555873*E302*F302</f>
        <v>6.9220283555873</v>
      </c>
      <c r="L302" s="12">
        <f t="shared" si="36"/>
        <v>0</v>
      </c>
      <c r="M302" s="29">
        <f>N302/F302/E302</f>
        <v>46.4764761018003</v>
      </c>
      <c r="N302" s="14">
        <f t="shared" si="37"/>
        <v>46.4764761018003</v>
      </c>
    </row>
    <row r="303" spans="2:14" ht="40.5" customHeight="1" thickBot="1" thickTop="1">
      <c r="B303" s="7">
        <v>298</v>
      </c>
      <c r="C303" s="5" t="s">
        <v>434</v>
      </c>
      <c r="D303" s="5" t="s">
        <v>403</v>
      </c>
      <c r="E303" s="9">
        <v>1</v>
      </c>
      <c r="F303" s="9">
        <v>1</v>
      </c>
      <c r="G303" s="12">
        <f>277*E303*F303</f>
        <v>277</v>
      </c>
      <c r="H303" s="12">
        <f t="shared" si="43"/>
        <v>0</v>
      </c>
      <c r="I303" s="12">
        <f t="shared" si="41"/>
        <v>0</v>
      </c>
      <c r="J303" s="12">
        <f>277.554*E303*F303</f>
        <v>277.554</v>
      </c>
      <c r="K303" s="12">
        <f>97.04695*E303*F303</f>
        <v>97.04695</v>
      </c>
      <c r="L303" s="12">
        <f t="shared" si="36"/>
        <v>0</v>
      </c>
      <c r="M303" s="29">
        <f>N303/F303/E303/1000</f>
        <v>0.65160095</v>
      </c>
      <c r="N303" s="14">
        <f t="shared" si="37"/>
        <v>651.60095</v>
      </c>
    </row>
    <row r="304" spans="2:14" ht="40.5" customHeight="1" thickBot="1" thickTop="1">
      <c r="B304" s="7">
        <v>299</v>
      </c>
      <c r="C304" s="5" t="s">
        <v>435</v>
      </c>
      <c r="D304" s="5" t="s">
        <v>436</v>
      </c>
      <c r="E304" s="9">
        <v>1</v>
      </c>
      <c r="F304" s="9">
        <v>1</v>
      </c>
      <c r="G304" s="12">
        <f>110.8*E304*F304</f>
        <v>110.8</v>
      </c>
      <c r="H304" s="12">
        <f t="shared" si="43"/>
        <v>0</v>
      </c>
      <c r="I304" s="12">
        <f t="shared" si="41"/>
        <v>0</v>
      </c>
      <c r="J304" s="12">
        <f>111.0216*E304*F304</f>
        <v>111.0216</v>
      </c>
      <c r="K304" s="12">
        <f>38.81878*E304*F304</f>
        <v>38.81878</v>
      </c>
      <c r="L304" s="12">
        <f t="shared" si="36"/>
        <v>0</v>
      </c>
      <c r="M304" s="29">
        <f>N304/F304/E304/1000</f>
        <v>0.26064038</v>
      </c>
      <c r="N304" s="14">
        <f t="shared" si="37"/>
        <v>260.64038</v>
      </c>
    </row>
    <row r="305" spans="2:14" ht="40.5" customHeight="1" thickBot="1" thickTop="1">
      <c r="B305" s="7">
        <v>300</v>
      </c>
      <c r="C305" s="5" t="s">
        <v>437</v>
      </c>
      <c r="D305" s="5" t="s">
        <v>438</v>
      </c>
      <c r="E305" s="9">
        <v>1</v>
      </c>
      <c r="F305" s="9">
        <v>1</v>
      </c>
      <c r="G305" s="12">
        <f>650.8128*E305*F305</f>
        <v>650.8128</v>
      </c>
      <c r="H305" s="12">
        <f t="shared" si="43"/>
        <v>0</v>
      </c>
      <c r="I305" s="12">
        <f t="shared" si="41"/>
        <v>0</v>
      </c>
      <c r="J305" s="12">
        <f>652.1144256*E305*F305</f>
        <v>652.1144256</v>
      </c>
      <c r="K305" s="12">
        <f>228.01226448*E305*F305</f>
        <v>228.01226448</v>
      </c>
      <c r="L305" s="12">
        <f t="shared" si="36"/>
        <v>0</v>
      </c>
      <c r="M305" s="29">
        <f>N305/F305/E305</f>
        <v>1530.9394900799998</v>
      </c>
      <c r="N305" s="14">
        <f t="shared" si="37"/>
        <v>1530.9394900799998</v>
      </c>
    </row>
    <row r="306" spans="2:14" ht="40.5" customHeight="1" thickBot="1" thickTop="1">
      <c r="B306" s="7">
        <v>301</v>
      </c>
      <c r="C306" s="5" t="s">
        <v>439</v>
      </c>
      <c r="D306" s="5" t="s">
        <v>212</v>
      </c>
      <c r="E306" s="9">
        <v>1</v>
      </c>
      <c r="F306" s="9">
        <v>1</v>
      </c>
      <c r="G306" s="12">
        <f>682.73766*E306*F306</f>
        <v>682.73766</v>
      </c>
      <c r="H306" s="12">
        <f t="shared" si="43"/>
        <v>0</v>
      </c>
      <c r="I306" s="12">
        <f>54.41085*E306*F306</f>
        <v>54.41085</v>
      </c>
      <c r="J306" s="12">
        <f>684.10313532*E306*F306</f>
        <v>684.10313532</v>
      </c>
      <c r="K306" s="12">
        <f>248.719037931*E306*F306</f>
        <v>248.719037931</v>
      </c>
      <c r="L306" s="12">
        <f t="shared" si="36"/>
        <v>0</v>
      </c>
      <c r="M306" s="29">
        <f aca="true" t="shared" si="44" ref="M306:M326">N306/F306/E306/100</f>
        <v>16.69970683251</v>
      </c>
      <c r="N306" s="14">
        <f t="shared" si="37"/>
        <v>1669.970683251</v>
      </c>
    </row>
    <row r="307" spans="2:14" ht="40.5" customHeight="1" thickBot="1" thickTop="1">
      <c r="B307" s="7">
        <v>302</v>
      </c>
      <c r="C307" s="5" t="s">
        <v>440</v>
      </c>
      <c r="D307" s="5" t="s">
        <v>212</v>
      </c>
      <c r="E307" s="9">
        <v>1</v>
      </c>
      <c r="F307" s="9">
        <v>1</v>
      </c>
      <c r="G307" s="12">
        <f>639.290718*E307*F307</f>
        <v>639.290718</v>
      </c>
      <c r="H307" s="12">
        <f>6.9605331624*E307*F307</f>
        <v>6.9605331624</v>
      </c>
      <c r="I307" s="12">
        <f>0*E307*F307</f>
        <v>0</v>
      </c>
      <c r="J307" s="12">
        <f>640.569299436*E307*F307</f>
        <v>640.569299436</v>
      </c>
      <c r="K307" s="12">
        <f>225.19359635472*E307*F307</f>
        <v>225.19359635472</v>
      </c>
      <c r="L307" s="12">
        <f t="shared" si="36"/>
        <v>0</v>
      </c>
      <c r="M307" s="29">
        <f t="shared" si="44"/>
        <v>15.120141469531202</v>
      </c>
      <c r="N307" s="14">
        <f t="shared" si="37"/>
        <v>1512.0141469531202</v>
      </c>
    </row>
    <row r="308" spans="2:14" ht="40.5" customHeight="1" thickBot="1" thickTop="1">
      <c r="B308" s="7">
        <v>303</v>
      </c>
      <c r="C308" s="5" t="s">
        <v>441</v>
      </c>
      <c r="D308" s="5" t="s">
        <v>212</v>
      </c>
      <c r="E308" s="9">
        <v>1</v>
      </c>
      <c r="F308" s="9">
        <v>1</v>
      </c>
      <c r="G308" s="12">
        <f>268.9572579311*E308*F308</f>
        <v>268.9572579311</v>
      </c>
      <c r="H308" s="12">
        <f>0*E308*F308</f>
        <v>0</v>
      </c>
      <c r="I308" s="12">
        <f>54.41085*E308*F308</f>
        <v>54.41085</v>
      </c>
      <c r="J308" s="12">
        <f>269.49517244696*E308*F308</f>
        <v>269.49517244696</v>
      </c>
      <c r="K308" s="12">
        <f>103.75107406616*E308*F308</f>
        <v>103.75107406616</v>
      </c>
      <c r="L308" s="12">
        <f t="shared" si="36"/>
        <v>0</v>
      </c>
      <c r="M308" s="29">
        <f t="shared" si="44"/>
        <v>6.966143544442199</v>
      </c>
      <c r="N308" s="14">
        <f t="shared" si="37"/>
        <v>696.6143544442199</v>
      </c>
    </row>
    <row r="309" spans="2:14" ht="40.5" customHeight="1" thickBot="1" thickTop="1">
      <c r="B309" s="7">
        <v>304</v>
      </c>
      <c r="C309" s="5" t="s">
        <v>442</v>
      </c>
      <c r="D309" s="5" t="s">
        <v>212</v>
      </c>
      <c r="E309" s="9">
        <v>1</v>
      </c>
      <c r="F309" s="9">
        <v>1</v>
      </c>
      <c r="G309" s="12">
        <f>19.524384*E309*F309</f>
        <v>19.524384</v>
      </c>
      <c r="H309" s="12">
        <f>0*E309*F309</f>
        <v>0</v>
      </c>
      <c r="I309" s="12">
        <f aca="true" t="shared" si="45" ref="I309:I340">0*E309*F309</f>
        <v>0</v>
      </c>
      <c r="J309" s="12">
        <f>19.563432768*E309*F309</f>
        <v>19.563432768</v>
      </c>
      <c r="K309" s="12">
        <f>6.8403679344*E309*F309</f>
        <v>6.8403679344</v>
      </c>
      <c r="L309" s="12">
        <f t="shared" si="36"/>
        <v>0</v>
      </c>
      <c r="M309" s="29">
        <f t="shared" si="44"/>
        <v>0.45928184702399993</v>
      </c>
      <c r="N309" s="14">
        <f t="shared" si="37"/>
        <v>45.928184702399996</v>
      </c>
    </row>
    <row r="310" spans="2:14" ht="40.5" customHeight="1" thickBot="1" thickTop="1">
      <c r="B310" s="7">
        <v>305</v>
      </c>
      <c r="C310" s="5" t="s">
        <v>443</v>
      </c>
      <c r="D310" s="5" t="s">
        <v>444</v>
      </c>
      <c r="E310" s="9">
        <v>1</v>
      </c>
      <c r="F310" s="9">
        <v>1</v>
      </c>
      <c r="G310" s="12">
        <f>82.825392*E310*F310</f>
        <v>82.825392</v>
      </c>
      <c r="H310" s="12">
        <f>0*E310*F310</f>
        <v>0</v>
      </c>
      <c r="I310" s="12">
        <f t="shared" si="45"/>
        <v>0</v>
      </c>
      <c r="J310" s="12">
        <f>82.991042784*E310*F310</f>
        <v>82.991042784</v>
      </c>
      <c r="K310" s="12">
        <f>29.0178760872*E310*F310</f>
        <v>29.0178760872</v>
      </c>
      <c r="L310" s="12">
        <f t="shared" si="36"/>
        <v>0</v>
      </c>
      <c r="M310" s="29">
        <f>N310/F310/E310/10</f>
        <v>19.48343108712</v>
      </c>
      <c r="N310" s="14">
        <f t="shared" si="37"/>
        <v>194.8343108712</v>
      </c>
    </row>
    <row r="311" spans="2:14" ht="40.5" customHeight="1" thickBot="1" thickTop="1">
      <c r="B311" s="7">
        <v>306</v>
      </c>
      <c r="C311" s="5" t="s">
        <v>445</v>
      </c>
      <c r="D311" s="5" t="s">
        <v>257</v>
      </c>
      <c r="E311" s="9">
        <v>1</v>
      </c>
      <c r="F311" s="9">
        <v>1</v>
      </c>
      <c r="G311" s="12">
        <f>7809.7536*E311*F311</f>
        <v>7809.7536</v>
      </c>
      <c r="H311" s="12">
        <f>218.90380752*E311*F311</f>
        <v>218.90380752</v>
      </c>
      <c r="I311" s="12">
        <f t="shared" si="45"/>
        <v>0</v>
      </c>
      <c r="J311" s="12">
        <f>7825.3731072*E311*F311</f>
        <v>7825.3731072</v>
      </c>
      <c r="K311" s="12">
        <f>2774.455340076*E311*F311</f>
        <v>2774.455340076</v>
      </c>
      <c r="L311" s="12">
        <f t="shared" si="36"/>
        <v>0</v>
      </c>
      <c r="M311" s="29">
        <f t="shared" si="44"/>
        <v>186.28485854796</v>
      </c>
      <c r="N311" s="14">
        <f t="shared" si="37"/>
        <v>18628.485854796</v>
      </c>
    </row>
    <row r="312" spans="2:14" ht="40.5" customHeight="1" thickBot="1" thickTop="1">
      <c r="B312" s="7">
        <v>307</v>
      </c>
      <c r="C312" s="5" t="s">
        <v>446</v>
      </c>
      <c r="D312" s="5" t="s">
        <v>257</v>
      </c>
      <c r="E312" s="9">
        <v>1</v>
      </c>
      <c r="F312" s="9">
        <v>1</v>
      </c>
      <c r="G312" s="12">
        <f>11714.6304*E312*F312</f>
        <v>11714.6304</v>
      </c>
      <c r="H312" s="12">
        <f>351.12099132*E312*F312</f>
        <v>351.12099132</v>
      </c>
      <c r="I312" s="12">
        <f t="shared" si="45"/>
        <v>0</v>
      </c>
      <c r="J312" s="12">
        <f>11738.0596608*E312*F312</f>
        <v>11738.0596608</v>
      </c>
      <c r="K312" s="12">
        <f>4165.666934121*E312*F312</f>
        <v>4165.666934121</v>
      </c>
      <c r="L312" s="12">
        <f t="shared" si="36"/>
        <v>0</v>
      </c>
      <c r="M312" s="29">
        <f t="shared" si="44"/>
        <v>279.69477986241</v>
      </c>
      <c r="N312" s="14">
        <f t="shared" si="37"/>
        <v>27969.477986241</v>
      </c>
    </row>
    <row r="313" spans="2:14" ht="40.5" customHeight="1" thickBot="1" thickTop="1">
      <c r="B313" s="7">
        <v>308</v>
      </c>
      <c r="C313" s="5" t="s">
        <v>447</v>
      </c>
      <c r="D313" s="5" t="s">
        <v>257</v>
      </c>
      <c r="E313" s="9">
        <v>1</v>
      </c>
      <c r="F313" s="9">
        <v>1</v>
      </c>
      <c r="G313" s="12">
        <f>11714.6304*E313*F313</f>
        <v>11714.6304</v>
      </c>
      <c r="H313" s="12">
        <f>554.04446292*E313*F313</f>
        <v>554.04446292</v>
      </c>
      <c r="I313" s="12">
        <f t="shared" si="45"/>
        <v>0</v>
      </c>
      <c r="J313" s="12">
        <f>11738.0596608*E313*F313</f>
        <v>11738.0596608</v>
      </c>
      <c r="K313" s="12">
        <f>4201.178541651*E313*F313</f>
        <v>4201.178541651</v>
      </c>
      <c r="L313" s="12">
        <f t="shared" si="36"/>
        <v>0</v>
      </c>
      <c r="M313" s="29">
        <f t="shared" si="44"/>
        <v>282.07913065370997</v>
      </c>
      <c r="N313" s="14">
        <f t="shared" si="37"/>
        <v>28207.913065370998</v>
      </c>
    </row>
    <row r="314" spans="2:14" ht="40.5" customHeight="1" thickBot="1" thickTop="1">
      <c r="B314" s="7">
        <v>309</v>
      </c>
      <c r="C314" s="5" t="s">
        <v>448</v>
      </c>
      <c r="D314" s="5" t="s">
        <v>261</v>
      </c>
      <c r="E314" s="9">
        <v>1</v>
      </c>
      <c r="F314" s="9">
        <v>1</v>
      </c>
      <c r="G314" s="12">
        <f>4230.2832*E314*F314</f>
        <v>4230.2832</v>
      </c>
      <c r="H314" s="12">
        <f>170.96279976*E314*F314</f>
        <v>170.96279976</v>
      </c>
      <c r="I314" s="12">
        <f t="shared" si="45"/>
        <v>0</v>
      </c>
      <c r="J314" s="12">
        <f>4238.7437664*E314*F314</f>
        <v>4238.7437664</v>
      </c>
      <c r="K314" s="12">
        <f>1511.998209078*E314*F314</f>
        <v>1511.998209078</v>
      </c>
      <c r="L314" s="12">
        <f t="shared" si="36"/>
        <v>0</v>
      </c>
      <c r="M314" s="29">
        <f t="shared" si="44"/>
        <v>101.51987975238</v>
      </c>
      <c r="N314" s="14">
        <f t="shared" si="37"/>
        <v>10151.987975238</v>
      </c>
    </row>
    <row r="315" spans="2:14" ht="40.5" customHeight="1" thickBot="1" thickTop="1">
      <c r="B315" s="7">
        <v>310</v>
      </c>
      <c r="C315" s="5" t="s">
        <v>449</v>
      </c>
      <c r="D315" s="5" t="s">
        <v>261</v>
      </c>
      <c r="E315" s="9">
        <v>1</v>
      </c>
      <c r="F315" s="9">
        <v>1</v>
      </c>
      <c r="G315" s="12">
        <f>6345.4248*E315*F315</f>
        <v>6345.4248</v>
      </c>
      <c r="H315" s="12">
        <f>202.9234716*E315*F315</f>
        <v>202.9234716</v>
      </c>
      <c r="I315" s="12">
        <f t="shared" si="45"/>
        <v>0</v>
      </c>
      <c r="J315" s="12">
        <f>6358.1156496*E315*F315</f>
        <v>6358.1156496</v>
      </c>
      <c r="K315" s="12">
        <f>2258.63118621*E315*F315</f>
        <v>2258.63118621</v>
      </c>
      <c r="L315" s="12">
        <f t="shared" si="36"/>
        <v>0</v>
      </c>
      <c r="M315" s="29">
        <f t="shared" si="44"/>
        <v>151.65095107410002</v>
      </c>
      <c r="N315" s="14">
        <f t="shared" si="37"/>
        <v>15165.095107410001</v>
      </c>
    </row>
    <row r="316" spans="2:14" ht="40.5" customHeight="1" thickBot="1" thickTop="1">
      <c r="B316" s="7">
        <v>311</v>
      </c>
      <c r="C316" s="5" t="s">
        <v>450</v>
      </c>
      <c r="D316" s="5" t="s">
        <v>261</v>
      </c>
      <c r="E316" s="9">
        <v>1</v>
      </c>
      <c r="F316" s="9">
        <v>1</v>
      </c>
      <c r="G316" s="12">
        <f>6345.4248*E316*F316</f>
        <v>6345.4248</v>
      </c>
      <c r="H316" s="12">
        <f>396.6515514*E316*F316</f>
        <v>396.6515514</v>
      </c>
      <c r="I316" s="12">
        <f t="shared" si="45"/>
        <v>0</v>
      </c>
      <c r="J316" s="12">
        <f>6358.1156496*E316*F316</f>
        <v>6358.1156496</v>
      </c>
      <c r="K316" s="12">
        <f>2292.533600175*E316*F316</f>
        <v>2292.533600175</v>
      </c>
      <c r="L316" s="12">
        <f t="shared" si="36"/>
        <v>0</v>
      </c>
      <c r="M316" s="29">
        <f t="shared" si="44"/>
        <v>153.92725601175</v>
      </c>
      <c r="N316" s="14">
        <f t="shared" si="37"/>
        <v>15392.725601175</v>
      </c>
    </row>
    <row r="317" spans="2:14" ht="40.5" customHeight="1" thickBot="1" thickTop="1">
      <c r="B317" s="7">
        <v>312</v>
      </c>
      <c r="C317" s="5" t="s">
        <v>451</v>
      </c>
      <c r="D317" s="5" t="s">
        <v>452</v>
      </c>
      <c r="E317" s="9">
        <v>1</v>
      </c>
      <c r="F317" s="9">
        <v>1</v>
      </c>
      <c r="G317" s="12">
        <f>26.032512*E317*F317</f>
        <v>26.032512</v>
      </c>
      <c r="H317" s="12">
        <f>37.996308864*E317*F317</f>
        <v>37.996308864</v>
      </c>
      <c r="I317" s="12">
        <f t="shared" si="45"/>
        <v>0</v>
      </c>
      <c r="J317" s="12">
        <f>26.084577024*E317*F317</f>
        <v>26.084577024</v>
      </c>
      <c r="K317" s="12">
        <f>15.7698446304*E317*F317</f>
        <v>15.7698446304</v>
      </c>
      <c r="L317" s="12">
        <f t="shared" si="36"/>
        <v>0</v>
      </c>
      <c r="M317" s="29">
        <f>N317/F317/E317</f>
        <v>105.8832425184</v>
      </c>
      <c r="N317" s="14">
        <f t="shared" si="37"/>
        <v>105.8832425184</v>
      </c>
    </row>
    <row r="318" spans="2:14" ht="40.5" customHeight="1" thickBot="1" thickTop="1">
      <c r="B318" s="7">
        <v>313</v>
      </c>
      <c r="C318" s="5" t="s">
        <v>453</v>
      </c>
      <c r="D318" s="5" t="s">
        <v>454</v>
      </c>
      <c r="E318" s="9">
        <v>1</v>
      </c>
      <c r="F318" s="9">
        <v>1</v>
      </c>
      <c r="G318" s="12">
        <f>858.7*E318*F318</f>
        <v>858.7</v>
      </c>
      <c r="H318" s="12">
        <f>393.587814528*E318*F318</f>
        <v>393.587814528</v>
      </c>
      <c r="I318" s="12">
        <f t="shared" si="45"/>
        <v>0</v>
      </c>
      <c r="J318" s="12">
        <f>860.4174*E318*F318</f>
        <v>860.4174</v>
      </c>
      <c r="K318" s="12">
        <f>369.7234125424*E318*F318</f>
        <v>369.7234125424</v>
      </c>
      <c r="L318" s="12">
        <f t="shared" si="36"/>
        <v>0</v>
      </c>
      <c r="M318" s="29">
        <f t="shared" si="44"/>
        <v>24.824286270704008</v>
      </c>
      <c r="N318" s="14">
        <f t="shared" si="37"/>
        <v>2482.4286270704006</v>
      </c>
    </row>
    <row r="319" spans="2:14" ht="40.5" customHeight="1" thickBot="1" thickTop="1">
      <c r="B319" s="7">
        <v>314</v>
      </c>
      <c r="C319" s="5" t="s">
        <v>455</v>
      </c>
      <c r="D319" s="5" t="s">
        <v>227</v>
      </c>
      <c r="E319" s="9">
        <v>1</v>
      </c>
      <c r="F319" s="9">
        <v>1</v>
      </c>
      <c r="G319" s="12">
        <f>5294.316*E319*F319</f>
        <v>5294.316</v>
      </c>
      <c r="H319" s="12">
        <f>11828.26686528*E319*F319</f>
        <v>11828.26686528</v>
      </c>
      <c r="I319" s="12">
        <f t="shared" si="45"/>
        <v>0</v>
      </c>
      <c r="J319" s="12">
        <f>5304.904632*E319*F319</f>
        <v>5304.904632</v>
      </c>
      <c r="K319" s="12">
        <f>3924.810312024*E319*F319</f>
        <v>3924.810312024</v>
      </c>
      <c r="L319" s="12">
        <f t="shared" si="36"/>
        <v>0</v>
      </c>
      <c r="M319" s="29">
        <f t="shared" si="44"/>
        <v>263.52297809304</v>
      </c>
      <c r="N319" s="14">
        <f t="shared" si="37"/>
        <v>26352.297809304004</v>
      </c>
    </row>
    <row r="320" spans="2:14" ht="40.5" customHeight="1" thickBot="1" thickTop="1">
      <c r="B320" s="7">
        <v>315</v>
      </c>
      <c r="C320" s="5" t="s">
        <v>456</v>
      </c>
      <c r="D320" s="5" t="s">
        <v>227</v>
      </c>
      <c r="E320" s="9">
        <v>1</v>
      </c>
      <c r="F320" s="9">
        <v>1</v>
      </c>
      <c r="G320" s="12">
        <f>0*E320*F320</f>
        <v>0</v>
      </c>
      <c r="H320" s="12">
        <f>5920.157402496*E320*F320</f>
        <v>5920.157402496</v>
      </c>
      <c r="I320" s="12">
        <f t="shared" si="45"/>
        <v>0</v>
      </c>
      <c r="J320" s="12">
        <f>0*E320*F320</f>
        <v>0</v>
      </c>
      <c r="K320" s="12">
        <f>1036.0275454368*E320*F320</f>
        <v>1036.0275454368</v>
      </c>
      <c r="L320" s="12">
        <f t="shared" si="36"/>
        <v>0</v>
      </c>
      <c r="M320" s="29">
        <f t="shared" si="44"/>
        <v>69.561849479328</v>
      </c>
      <c r="N320" s="14">
        <f t="shared" si="37"/>
        <v>6956.1849479328</v>
      </c>
    </row>
    <row r="321" spans="2:14" ht="40.5" customHeight="1" thickBot="1" thickTop="1">
      <c r="B321" s="7">
        <v>316</v>
      </c>
      <c r="C321" s="5" t="s">
        <v>457</v>
      </c>
      <c r="D321" s="5" t="s">
        <v>458</v>
      </c>
      <c r="E321" s="9">
        <v>1</v>
      </c>
      <c r="F321" s="9">
        <v>1</v>
      </c>
      <c r="G321" s="12">
        <f>9111.3792*E321*F321</f>
        <v>9111.3792</v>
      </c>
      <c r="H321" s="12">
        <f>0*E321*F321</f>
        <v>0</v>
      </c>
      <c r="I321" s="12">
        <f t="shared" si="45"/>
        <v>0</v>
      </c>
      <c r="J321" s="12">
        <f>9129.6019584*E321*F321</f>
        <v>9129.6019584</v>
      </c>
      <c r="K321" s="12">
        <f>3192.17170272*E321*F321</f>
        <v>3192.17170272</v>
      </c>
      <c r="L321" s="12">
        <f t="shared" si="36"/>
        <v>0</v>
      </c>
      <c r="M321" s="29">
        <f t="shared" si="44"/>
        <v>214.33152861119999</v>
      </c>
      <c r="N321" s="14">
        <f t="shared" si="37"/>
        <v>21433.152861119997</v>
      </c>
    </row>
    <row r="322" spans="2:14" ht="40.5" customHeight="1" thickBot="1" thickTop="1">
      <c r="B322" s="7">
        <v>317</v>
      </c>
      <c r="C322" s="5" t="s">
        <v>459</v>
      </c>
      <c r="D322" s="5" t="s">
        <v>224</v>
      </c>
      <c r="E322" s="9">
        <v>1</v>
      </c>
      <c r="F322" s="9">
        <v>1</v>
      </c>
      <c r="G322" s="12">
        <f>3091.3608*E322*F322</f>
        <v>3091.3608</v>
      </c>
      <c r="H322" s="12">
        <f>0*E322*F322</f>
        <v>0</v>
      </c>
      <c r="I322" s="12">
        <f t="shared" si="45"/>
        <v>0</v>
      </c>
      <c r="J322" s="12">
        <f>3097.5435216*E322*F322</f>
        <v>3097.5435216</v>
      </c>
      <c r="K322" s="12">
        <f>1083.05825628*E322*F322</f>
        <v>1083.05825628</v>
      </c>
      <c r="L322" s="12">
        <f t="shared" si="36"/>
        <v>0</v>
      </c>
      <c r="M322" s="29">
        <f t="shared" si="44"/>
        <v>72.7196257788</v>
      </c>
      <c r="N322" s="14">
        <f t="shared" si="37"/>
        <v>7271.96257788</v>
      </c>
    </row>
    <row r="323" spans="2:14" ht="40.5" customHeight="1" thickBot="1" thickTop="1">
      <c r="B323" s="7">
        <v>318</v>
      </c>
      <c r="C323" s="5" t="s">
        <v>460</v>
      </c>
      <c r="D323" s="5" t="s">
        <v>257</v>
      </c>
      <c r="E323" s="9">
        <v>1</v>
      </c>
      <c r="F323" s="9">
        <v>1</v>
      </c>
      <c r="G323" s="12">
        <f>8135.16*E323*F323</f>
        <v>8135.16</v>
      </c>
      <c r="H323" s="12">
        <f>10073.69883864*E323*F323</f>
        <v>10073.69883864</v>
      </c>
      <c r="I323" s="12">
        <f t="shared" si="45"/>
        <v>0</v>
      </c>
      <c r="J323" s="12">
        <f>8151.43032*E323*F323</f>
        <v>8151.43032</v>
      </c>
      <c r="K323" s="12">
        <f>4613.050602762*E323*F323</f>
        <v>4613.050602762</v>
      </c>
      <c r="L323" s="12">
        <f t="shared" si="36"/>
        <v>0</v>
      </c>
      <c r="M323" s="29">
        <f t="shared" si="44"/>
        <v>309.73339761402</v>
      </c>
      <c r="N323" s="14">
        <f t="shared" si="37"/>
        <v>30973.339761402</v>
      </c>
    </row>
    <row r="324" spans="2:14" ht="40.5" customHeight="1" thickBot="1" thickTop="1">
      <c r="B324" s="7">
        <v>319</v>
      </c>
      <c r="C324" s="5" t="s">
        <v>461</v>
      </c>
      <c r="D324" s="5" t="s">
        <v>212</v>
      </c>
      <c r="E324" s="9">
        <v>1</v>
      </c>
      <c r="F324" s="9">
        <v>1</v>
      </c>
      <c r="G324" s="12">
        <f>5139.4266*E324*F324</f>
        <v>5139.4266</v>
      </c>
      <c r="H324" s="12">
        <f>5477.18199336*E324*F324</f>
        <v>5477.18199336</v>
      </c>
      <c r="I324" s="12">
        <f t="shared" si="45"/>
        <v>0</v>
      </c>
      <c r="J324" s="12">
        <f>5149.7054532*E324*F324</f>
        <v>5149.7054532</v>
      </c>
      <c r="K324" s="12">
        <f>2759.104958148*E324*F324</f>
        <v>2759.104958148</v>
      </c>
      <c r="L324" s="12">
        <f aca="true" t="shared" si="46" ref="L324:L359">0*E324*F324</f>
        <v>0</v>
      </c>
      <c r="M324" s="29">
        <f t="shared" si="44"/>
        <v>185.25419004708002</v>
      </c>
      <c r="N324" s="14">
        <f aca="true" t="shared" si="47" ref="N324:N359">SUM(G324:L324)</f>
        <v>18525.419004708</v>
      </c>
    </row>
    <row r="325" spans="2:14" ht="40.5" customHeight="1" thickBot="1" thickTop="1">
      <c r="B325" s="7">
        <v>320</v>
      </c>
      <c r="C325" s="5" t="s">
        <v>462</v>
      </c>
      <c r="D325" s="5" t="s">
        <v>212</v>
      </c>
      <c r="E325" s="9">
        <v>1</v>
      </c>
      <c r="F325" s="9">
        <v>1</v>
      </c>
      <c r="G325" s="12">
        <f>5139.4266*E325*F325</f>
        <v>5139.4266</v>
      </c>
      <c r="H325" s="12">
        <f>7326.62006904*E325*F325</f>
        <v>7326.62006904</v>
      </c>
      <c r="I325" s="12">
        <f t="shared" si="45"/>
        <v>0</v>
      </c>
      <c r="J325" s="12">
        <f>5149.7054532*E325*F325</f>
        <v>5149.7054532</v>
      </c>
      <c r="K325" s="12">
        <f>3082.756621392*E325*F325</f>
        <v>3082.756621392</v>
      </c>
      <c r="L325" s="12">
        <f t="shared" si="46"/>
        <v>0</v>
      </c>
      <c r="M325" s="29">
        <f t="shared" si="44"/>
        <v>206.98508743632</v>
      </c>
      <c r="N325" s="14">
        <f t="shared" si="47"/>
        <v>20698.508743632</v>
      </c>
    </row>
    <row r="326" spans="2:14" ht="40.5" customHeight="1" thickBot="1" thickTop="1">
      <c r="B326" s="7">
        <v>321</v>
      </c>
      <c r="C326" s="5" t="s">
        <v>463</v>
      </c>
      <c r="D326" s="5" t="s">
        <v>212</v>
      </c>
      <c r="E326" s="9">
        <v>1</v>
      </c>
      <c r="F326" s="9">
        <v>1</v>
      </c>
      <c r="G326" s="12">
        <f>5139.4266*E326*F326</f>
        <v>5139.4266</v>
      </c>
      <c r="H326" s="12">
        <f>10385.30611728*E326*F326</f>
        <v>10385.30611728</v>
      </c>
      <c r="I326" s="12">
        <f t="shared" si="45"/>
        <v>0</v>
      </c>
      <c r="J326" s="12">
        <f>5149.7054532*E326*F326</f>
        <v>5149.7054532</v>
      </c>
      <c r="K326" s="12">
        <f>3618.026679834*E326*F326</f>
        <v>3618.026679834</v>
      </c>
      <c r="L326" s="12">
        <f t="shared" si="46"/>
        <v>0</v>
      </c>
      <c r="M326" s="29">
        <f t="shared" si="44"/>
        <v>242.92464850314</v>
      </c>
      <c r="N326" s="14">
        <f t="shared" si="47"/>
        <v>24292.464850313998</v>
      </c>
    </row>
    <row r="327" spans="2:14" ht="40.5" customHeight="1" thickBot="1" thickTop="1">
      <c r="B327" s="7">
        <v>322</v>
      </c>
      <c r="C327" s="5" t="s">
        <v>464</v>
      </c>
      <c r="D327" s="5" t="s">
        <v>465</v>
      </c>
      <c r="E327" s="9">
        <v>1</v>
      </c>
      <c r="F327" s="9">
        <v>1</v>
      </c>
      <c r="G327" s="12">
        <f>18.34932*E327*F327</f>
        <v>18.34932</v>
      </c>
      <c r="H327" s="12">
        <f aca="true" t="shared" si="48" ref="H327:H355">0*E327*F327</f>
        <v>0</v>
      </c>
      <c r="I327" s="12">
        <f t="shared" si="45"/>
        <v>0</v>
      </c>
      <c r="J327" s="12">
        <f>18.38601864*E327*F327</f>
        <v>18.38601864</v>
      </c>
      <c r="K327" s="12">
        <f>6.428684262*E327*F327</f>
        <v>6.428684262</v>
      </c>
      <c r="L327" s="12">
        <f t="shared" si="46"/>
        <v>0</v>
      </c>
      <c r="M327" s="29">
        <f>N327/F327/E327</f>
        <v>43.16402290199999</v>
      </c>
      <c r="N327" s="14">
        <f t="shared" si="47"/>
        <v>43.16402290199999</v>
      </c>
    </row>
    <row r="328" spans="2:14" ht="40.5" customHeight="1" thickBot="1" thickTop="1">
      <c r="B328" s="7">
        <v>323</v>
      </c>
      <c r="C328" s="5" t="s">
        <v>466</v>
      </c>
      <c r="D328" s="5" t="s">
        <v>465</v>
      </c>
      <c r="E328" s="9">
        <v>1</v>
      </c>
      <c r="F328" s="9">
        <v>1</v>
      </c>
      <c r="G328" s="12">
        <f>16.27032*E328*F328</f>
        <v>16.27032</v>
      </c>
      <c r="H328" s="12">
        <f t="shared" si="48"/>
        <v>0</v>
      </c>
      <c r="I328" s="12">
        <f t="shared" si="45"/>
        <v>0</v>
      </c>
      <c r="J328" s="12">
        <f>16.30286064*E328*F328</f>
        <v>16.30286064</v>
      </c>
      <c r="K328" s="12">
        <f>5.700306612*E328*F328</f>
        <v>5.700306612</v>
      </c>
      <c r="L328" s="12">
        <f t="shared" si="46"/>
        <v>0</v>
      </c>
      <c r="M328" s="29">
        <f aca="true" t="shared" si="49" ref="M328:M347">N328/F328/E328</f>
        <v>38.273487252</v>
      </c>
      <c r="N328" s="14">
        <f t="shared" si="47"/>
        <v>38.273487252</v>
      </c>
    </row>
    <row r="329" spans="2:14" ht="40.5" customHeight="1" thickBot="1" thickTop="1">
      <c r="B329" s="7">
        <v>324</v>
      </c>
      <c r="C329" s="5" t="s">
        <v>467</v>
      </c>
      <c r="D329" s="5" t="s">
        <v>465</v>
      </c>
      <c r="E329" s="9">
        <v>1</v>
      </c>
      <c r="F329" s="9">
        <v>1</v>
      </c>
      <c r="G329" s="12">
        <f>48.81096*E329*F329</f>
        <v>48.81096</v>
      </c>
      <c r="H329" s="12">
        <f t="shared" si="48"/>
        <v>0</v>
      </c>
      <c r="I329" s="12">
        <f t="shared" si="45"/>
        <v>0</v>
      </c>
      <c r="J329" s="12">
        <f>48.90858192*E329*F329</f>
        <v>48.90858192</v>
      </c>
      <c r="K329" s="12">
        <f>17.100919836*E329*F329</f>
        <v>17.100919836</v>
      </c>
      <c r="L329" s="12">
        <f t="shared" si="46"/>
        <v>0</v>
      </c>
      <c r="M329" s="29">
        <f t="shared" si="49"/>
        <v>114.82046175600001</v>
      </c>
      <c r="N329" s="14">
        <f t="shared" si="47"/>
        <v>114.82046175600001</v>
      </c>
    </row>
    <row r="330" spans="2:14" ht="40.5" customHeight="1" thickBot="1" thickTop="1">
      <c r="B330" s="7">
        <v>325</v>
      </c>
      <c r="C330" s="5" t="s">
        <v>468</v>
      </c>
      <c r="D330" s="5" t="s">
        <v>469</v>
      </c>
      <c r="E330" s="9">
        <v>1</v>
      </c>
      <c r="F330" s="9">
        <v>1</v>
      </c>
      <c r="G330" s="12">
        <f>97.251396*E330*F330</f>
        <v>97.251396</v>
      </c>
      <c r="H330" s="12">
        <f t="shared" si="48"/>
        <v>0</v>
      </c>
      <c r="I330" s="12">
        <f t="shared" si="45"/>
        <v>0</v>
      </c>
      <c r="J330" s="12">
        <f>97.445898792*E330*F330</f>
        <v>97.445898792</v>
      </c>
      <c r="K330" s="12">
        <f>34.0720265886*E330*F330</f>
        <v>34.0720265886</v>
      </c>
      <c r="L330" s="12">
        <f t="shared" si="46"/>
        <v>0</v>
      </c>
      <c r="M330" s="29">
        <f t="shared" si="49"/>
        <v>228.7693213806</v>
      </c>
      <c r="N330" s="14">
        <f t="shared" si="47"/>
        <v>228.7693213806</v>
      </c>
    </row>
    <row r="331" spans="2:14" ht="40.5" customHeight="1" thickBot="1" thickTop="1">
      <c r="B331" s="7">
        <v>326</v>
      </c>
      <c r="C331" s="5" t="s">
        <v>470</v>
      </c>
      <c r="D331" s="5" t="s">
        <v>469</v>
      </c>
      <c r="E331" s="9">
        <v>1</v>
      </c>
      <c r="F331" s="9">
        <v>1</v>
      </c>
      <c r="G331" s="12">
        <f>183.4932*E331*F331</f>
        <v>183.4932</v>
      </c>
      <c r="H331" s="12">
        <f t="shared" si="48"/>
        <v>0</v>
      </c>
      <c r="I331" s="12">
        <f t="shared" si="45"/>
        <v>0</v>
      </c>
      <c r="J331" s="12">
        <f>183.8601864*E331*F331</f>
        <v>183.8601864</v>
      </c>
      <c r="K331" s="12">
        <f>64.28684262*E331*F331</f>
        <v>64.28684262</v>
      </c>
      <c r="L331" s="12">
        <f t="shared" si="46"/>
        <v>0</v>
      </c>
      <c r="M331" s="29">
        <f t="shared" si="49"/>
        <v>431.64022902</v>
      </c>
      <c r="N331" s="14">
        <f t="shared" si="47"/>
        <v>431.64022902</v>
      </c>
    </row>
    <row r="332" spans="2:14" ht="40.5" customHeight="1" thickBot="1" thickTop="1">
      <c r="B332" s="7">
        <v>327</v>
      </c>
      <c r="C332" s="5" t="s">
        <v>471</v>
      </c>
      <c r="D332" s="5" t="s">
        <v>465</v>
      </c>
      <c r="E332" s="9">
        <v>1</v>
      </c>
      <c r="F332" s="9">
        <v>1</v>
      </c>
      <c r="G332" s="12">
        <f>36.69864*E332*F332</f>
        <v>36.69864</v>
      </c>
      <c r="H332" s="12">
        <f t="shared" si="48"/>
        <v>0</v>
      </c>
      <c r="I332" s="12">
        <f t="shared" si="45"/>
        <v>0</v>
      </c>
      <c r="J332" s="12">
        <f>36.77203728*E332*F332</f>
        <v>36.77203728</v>
      </c>
      <c r="K332" s="12">
        <f>12.857368524*E332*F332</f>
        <v>12.857368524</v>
      </c>
      <c r="L332" s="12">
        <f t="shared" si="46"/>
        <v>0</v>
      </c>
      <c r="M332" s="29">
        <f t="shared" si="49"/>
        <v>86.32804580399998</v>
      </c>
      <c r="N332" s="14">
        <f t="shared" si="47"/>
        <v>86.32804580399998</v>
      </c>
    </row>
    <row r="333" spans="2:14" ht="40.5" customHeight="1" thickBot="1" thickTop="1">
      <c r="B333" s="7">
        <v>328</v>
      </c>
      <c r="C333" s="5" t="s">
        <v>472</v>
      </c>
      <c r="D333" s="5" t="s">
        <v>465</v>
      </c>
      <c r="E333" s="9">
        <v>1</v>
      </c>
      <c r="F333" s="9">
        <v>1</v>
      </c>
      <c r="G333" s="12">
        <f>132.115104*E333*F333</f>
        <v>132.115104</v>
      </c>
      <c r="H333" s="12">
        <f t="shared" si="48"/>
        <v>0</v>
      </c>
      <c r="I333" s="12">
        <f t="shared" si="45"/>
        <v>0</v>
      </c>
      <c r="J333" s="12">
        <f>132.379334208*E333*F333</f>
        <v>132.379334208</v>
      </c>
      <c r="K333" s="12">
        <f>46.2865266864*E333*F333</f>
        <v>46.2865266864</v>
      </c>
      <c r="L333" s="12">
        <f t="shared" si="46"/>
        <v>0</v>
      </c>
      <c r="M333" s="29">
        <f t="shared" si="49"/>
        <v>310.78096489440003</v>
      </c>
      <c r="N333" s="14">
        <f t="shared" si="47"/>
        <v>310.78096489440003</v>
      </c>
    </row>
    <row r="334" spans="2:14" ht="40.5" customHeight="1" thickBot="1" thickTop="1">
      <c r="B334" s="7">
        <v>329</v>
      </c>
      <c r="C334" s="5" t="s">
        <v>473</v>
      </c>
      <c r="D334" s="5" t="s">
        <v>465</v>
      </c>
      <c r="E334" s="9">
        <v>1</v>
      </c>
      <c r="F334" s="9">
        <v>1</v>
      </c>
      <c r="G334" s="12">
        <f>18.34932*E334*F334</f>
        <v>18.34932</v>
      </c>
      <c r="H334" s="12">
        <f t="shared" si="48"/>
        <v>0</v>
      </c>
      <c r="I334" s="12">
        <f t="shared" si="45"/>
        <v>0</v>
      </c>
      <c r="J334" s="12">
        <f>18.38601864*E334*F334</f>
        <v>18.38601864</v>
      </c>
      <c r="K334" s="12">
        <f>6.428684262*E334*F334</f>
        <v>6.428684262</v>
      </c>
      <c r="L334" s="12">
        <f t="shared" si="46"/>
        <v>0</v>
      </c>
      <c r="M334" s="29">
        <f t="shared" si="49"/>
        <v>43.16402290199999</v>
      </c>
      <c r="N334" s="14">
        <f t="shared" si="47"/>
        <v>43.16402290199999</v>
      </c>
    </row>
    <row r="335" spans="2:14" ht="40.5" customHeight="1" thickBot="1" thickTop="1">
      <c r="B335" s="7">
        <v>330</v>
      </c>
      <c r="C335" s="5" t="s">
        <v>474</v>
      </c>
      <c r="D335" s="5" t="s">
        <v>475</v>
      </c>
      <c r="E335" s="9">
        <v>1</v>
      </c>
      <c r="F335" s="9">
        <v>1</v>
      </c>
      <c r="G335" s="12">
        <f>18.34932*E335*F335</f>
        <v>18.34932</v>
      </c>
      <c r="H335" s="12">
        <f t="shared" si="48"/>
        <v>0</v>
      </c>
      <c r="I335" s="12">
        <f t="shared" si="45"/>
        <v>0</v>
      </c>
      <c r="J335" s="12">
        <f>18.38601864*E335*F335</f>
        <v>18.38601864</v>
      </c>
      <c r="K335" s="12">
        <f>6.428684262*E335*F335</f>
        <v>6.428684262</v>
      </c>
      <c r="L335" s="12">
        <f t="shared" si="46"/>
        <v>0</v>
      </c>
      <c r="M335" s="29">
        <f t="shared" si="49"/>
        <v>43.16402290199999</v>
      </c>
      <c r="N335" s="14">
        <f t="shared" si="47"/>
        <v>43.16402290199999</v>
      </c>
    </row>
    <row r="336" spans="2:14" ht="40.5" customHeight="1" thickBot="1" thickTop="1">
      <c r="B336" s="7">
        <v>331</v>
      </c>
      <c r="C336" s="5" t="s">
        <v>476</v>
      </c>
      <c r="D336" s="5" t="s">
        <v>475</v>
      </c>
      <c r="E336" s="9">
        <v>1</v>
      </c>
      <c r="F336" s="9">
        <v>1</v>
      </c>
      <c r="G336" s="12">
        <f>16.27032*E336*F336</f>
        <v>16.27032</v>
      </c>
      <c r="H336" s="12">
        <f t="shared" si="48"/>
        <v>0</v>
      </c>
      <c r="I336" s="12">
        <f t="shared" si="45"/>
        <v>0</v>
      </c>
      <c r="J336" s="12">
        <f>16.30286064*E336*F336</f>
        <v>16.30286064</v>
      </c>
      <c r="K336" s="12">
        <f>5.700306612*E336*F336</f>
        <v>5.700306612</v>
      </c>
      <c r="L336" s="12">
        <f t="shared" si="46"/>
        <v>0</v>
      </c>
      <c r="M336" s="29">
        <f t="shared" si="49"/>
        <v>38.273487252</v>
      </c>
      <c r="N336" s="14">
        <f t="shared" si="47"/>
        <v>38.273487252</v>
      </c>
    </row>
    <row r="337" spans="2:14" ht="40.5" customHeight="1" thickBot="1" thickTop="1">
      <c r="B337" s="7">
        <v>332</v>
      </c>
      <c r="C337" s="5" t="s">
        <v>477</v>
      </c>
      <c r="D337" s="5" t="s">
        <v>475</v>
      </c>
      <c r="E337" s="9">
        <v>1</v>
      </c>
      <c r="F337" s="9">
        <v>1</v>
      </c>
      <c r="G337" s="12">
        <f>48.81096*E337*F337</f>
        <v>48.81096</v>
      </c>
      <c r="H337" s="12">
        <f t="shared" si="48"/>
        <v>0</v>
      </c>
      <c r="I337" s="12">
        <f t="shared" si="45"/>
        <v>0</v>
      </c>
      <c r="J337" s="12">
        <f>48.90858192*E337*F337</f>
        <v>48.90858192</v>
      </c>
      <c r="K337" s="12">
        <f>17.100919836*E337*F337</f>
        <v>17.100919836</v>
      </c>
      <c r="L337" s="12">
        <f t="shared" si="46"/>
        <v>0</v>
      </c>
      <c r="M337" s="29">
        <f t="shared" si="49"/>
        <v>114.82046175600001</v>
      </c>
      <c r="N337" s="14">
        <f t="shared" si="47"/>
        <v>114.82046175600001</v>
      </c>
    </row>
    <row r="338" spans="2:14" ht="40.5" customHeight="1" thickBot="1" thickTop="1">
      <c r="B338" s="7">
        <v>333</v>
      </c>
      <c r="C338" s="5" t="s">
        <v>478</v>
      </c>
      <c r="D338" s="5" t="s">
        <v>469</v>
      </c>
      <c r="E338" s="9">
        <v>1</v>
      </c>
      <c r="F338" s="9">
        <v>1</v>
      </c>
      <c r="G338" s="12">
        <f>97.251396*E338*F338</f>
        <v>97.251396</v>
      </c>
      <c r="H338" s="12">
        <f t="shared" si="48"/>
        <v>0</v>
      </c>
      <c r="I338" s="12">
        <f t="shared" si="45"/>
        <v>0</v>
      </c>
      <c r="J338" s="12">
        <f>97.445898792*E338*F338</f>
        <v>97.445898792</v>
      </c>
      <c r="K338" s="12">
        <f>34.0720265886*E338*F338</f>
        <v>34.0720265886</v>
      </c>
      <c r="L338" s="12">
        <f t="shared" si="46"/>
        <v>0</v>
      </c>
      <c r="M338" s="29">
        <f t="shared" si="49"/>
        <v>228.7693213806</v>
      </c>
      <c r="N338" s="14">
        <f t="shared" si="47"/>
        <v>228.7693213806</v>
      </c>
    </row>
    <row r="339" spans="2:14" ht="40.5" customHeight="1" thickBot="1" thickTop="1">
      <c r="B339" s="7">
        <v>334</v>
      </c>
      <c r="C339" s="5" t="s">
        <v>479</v>
      </c>
      <c r="D339" s="5" t="s">
        <v>469</v>
      </c>
      <c r="E339" s="9">
        <v>1</v>
      </c>
      <c r="F339" s="9">
        <v>1</v>
      </c>
      <c r="G339" s="12">
        <f>183.4932*E339*F339</f>
        <v>183.4932</v>
      </c>
      <c r="H339" s="12">
        <f t="shared" si="48"/>
        <v>0</v>
      </c>
      <c r="I339" s="12">
        <f t="shared" si="45"/>
        <v>0</v>
      </c>
      <c r="J339" s="12">
        <f>183.8601864*E339*F339</f>
        <v>183.8601864</v>
      </c>
      <c r="K339" s="12">
        <f>64.28684262*E339*F339</f>
        <v>64.28684262</v>
      </c>
      <c r="L339" s="12">
        <f t="shared" si="46"/>
        <v>0</v>
      </c>
      <c r="M339" s="29">
        <f t="shared" si="49"/>
        <v>431.64022902</v>
      </c>
      <c r="N339" s="14">
        <f t="shared" si="47"/>
        <v>431.64022902</v>
      </c>
    </row>
    <row r="340" spans="2:14" ht="40.5" customHeight="1" thickBot="1" thickTop="1">
      <c r="B340" s="7">
        <v>335</v>
      </c>
      <c r="C340" s="5" t="s">
        <v>480</v>
      </c>
      <c r="D340" s="5" t="s">
        <v>475</v>
      </c>
      <c r="E340" s="9">
        <v>1</v>
      </c>
      <c r="F340" s="9">
        <v>1</v>
      </c>
      <c r="G340" s="12">
        <f>36.69864*E340*F340</f>
        <v>36.69864</v>
      </c>
      <c r="H340" s="12">
        <f t="shared" si="48"/>
        <v>0</v>
      </c>
      <c r="I340" s="12">
        <f t="shared" si="45"/>
        <v>0</v>
      </c>
      <c r="J340" s="12">
        <f>36.77203728*E340*F340</f>
        <v>36.77203728</v>
      </c>
      <c r="K340" s="12">
        <f>12.857368524*E340*F340</f>
        <v>12.857368524</v>
      </c>
      <c r="L340" s="12">
        <f t="shared" si="46"/>
        <v>0</v>
      </c>
      <c r="M340" s="29">
        <f t="shared" si="49"/>
        <v>86.32804580399998</v>
      </c>
      <c r="N340" s="14">
        <f t="shared" si="47"/>
        <v>86.32804580399998</v>
      </c>
    </row>
    <row r="341" spans="2:14" ht="40.5" customHeight="1" thickBot="1" thickTop="1">
      <c r="B341" s="7">
        <v>336</v>
      </c>
      <c r="C341" s="5" t="s">
        <v>481</v>
      </c>
      <c r="D341" s="5" t="s">
        <v>475</v>
      </c>
      <c r="E341" s="9">
        <v>1</v>
      </c>
      <c r="F341" s="9">
        <v>1</v>
      </c>
      <c r="G341" s="12">
        <f>132.115104*E341*F341</f>
        <v>132.115104</v>
      </c>
      <c r="H341" s="12">
        <f t="shared" si="48"/>
        <v>0</v>
      </c>
      <c r="I341" s="12">
        <f aca="true" t="shared" si="50" ref="I341:I359">0*E341*F341</f>
        <v>0</v>
      </c>
      <c r="J341" s="12">
        <f>132.379334208*E341*F341</f>
        <v>132.379334208</v>
      </c>
      <c r="K341" s="12">
        <f>46.2865266864*E341*F341</f>
        <v>46.2865266864</v>
      </c>
      <c r="L341" s="12">
        <f t="shared" si="46"/>
        <v>0</v>
      </c>
      <c r="M341" s="29">
        <f t="shared" si="49"/>
        <v>310.78096489440003</v>
      </c>
      <c r="N341" s="14">
        <f t="shared" si="47"/>
        <v>310.78096489440003</v>
      </c>
    </row>
    <row r="342" spans="2:14" ht="40.5" customHeight="1" thickBot="1" thickTop="1">
      <c r="B342" s="7">
        <v>337</v>
      </c>
      <c r="C342" s="5" t="s">
        <v>482</v>
      </c>
      <c r="D342" s="5" t="s">
        <v>475</v>
      </c>
      <c r="E342" s="9">
        <v>1</v>
      </c>
      <c r="F342" s="9">
        <v>1</v>
      </c>
      <c r="G342" s="12">
        <f>18.34932*E342*F342</f>
        <v>18.34932</v>
      </c>
      <c r="H342" s="12">
        <f t="shared" si="48"/>
        <v>0</v>
      </c>
      <c r="I342" s="12">
        <f t="shared" si="50"/>
        <v>0</v>
      </c>
      <c r="J342" s="12">
        <f>18.38601864*E342*F342</f>
        <v>18.38601864</v>
      </c>
      <c r="K342" s="12">
        <f>6.428684262*E342*F342</f>
        <v>6.428684262</v>
      </c>
      <c r="L342" s="12">
        <f t="shared" si="46"/>
        <v>0</v>
      </c>
      <c r="M342" s="29">
        <f t="shared" si="49"/>
        <v>43.16402290199999</v>
      </c>
      <c r="N342" s="14">
        <f t="shared" si="47"/>
        <v>43.16402290199999</v>
      </c>
    </row>
    <row r="343" spans="2:14" ht="40.5" customHeight="1" thickBot="1" thickTop="1">
      <c r="B343" s="7">
        <v>338</v>
      </c>
      <c r="C343" s="5" t="s">
        <v>483</v>
      </c>
      <c r="D343" s="5" t="s">
        <v>475</v>
      </c>
      <c r="E343" s="9">
        <v>1</v>
      </c>
      <c r="F343" s="9">
        <v>1</v>
      </c>
      <c r="G343" s="12">
        <f>183.4932*E343*F343</f>
        <v>183.4932</v>
      </c>
      <c r="H343" s="12">
        <f t="shared" si="48"/>
        <v>0</v>
      </c>
      <c r="I343" s="12">
        <f t="shared" si="50"/>
        <v>0</v>
      </c>
      <c r="J343" s="12">
        <f>183.8601864*E343*F343</f>
        <v>183.8601864</v>
      </c>
      <c r="K343" s="12">
        <f>64.28684262*E343*F343</f>
        <v>64.28684262</v>
      </c>
      <c r="L343" s="12">
        <f t="shared" si="46"/>
        <v>0</v>
      </c>
      <c r="M343" s="29">
        <f t="shared" si="49"/>
        <v>431.64022902</v>
      </c>
      <c r="N343" s="14">
        <f t="shared" si="47"/>
        <v>431.64022902</v>
      </c>
    </row>
    <row r="344" spans="2:14" ht="40.5" customHeight="1" thickBot="1" thickTop="1">
      <c r="B344" s="7">
        <v>339</v>
      </c>
      <c r="C344" s="5" t="s">
        <v>484</v>
      </c>
      <c r="D344" s="5" t="s">
        <v>475</v>
      </c>
      <c r="E344" s="9">
        <v>1</v>
      </c>
      <c r="F344" s="9">
        <v>1</v>
      </c>
      <c r="G344" s="12">
        <f>51.75192*E344*F344</f>
        <v>51.75192</v>
      </c>
      <c r="H344" s="12">
        <f t="shared" si="48"/>
        <v>0</v>
      </c>
      <c r="I344" s="12">
        <f t="shared" si="50"/>
        <v>0</v>
      </c>
      <c r="J344" s="12">
        <f>51.85542384*E344*F344</f>
        <v>51.85542384</v>
      </c>
      <c r="K344" s="12">
        <f>18.131285172*E344*F344</f>
        <v>18.131285172</v>
      </c>
      <c r="L344" s="12">
        <f t="shared" si="46"/>
        <v>0</v>
      </c>
      <c r="M344" s="29">
        <f t="shared" si="49"/>
        <v>121.73862901199999</v>
      </c>
      <c r="N344" s="14">
        <f t="shared" si="47"/>
        <v>121.73862901199999</v>
      </c>
    </row>
    <row r="345" spans="2:14" ht="40.5" customHeight="1" thickBot="1" thickTop="1">
      <c r="B345" s="7">
        <v>340</v>
      </c>
      <c r="C345" s="5" t="s">
        <v>485</v>
      </c>
      <c r="D345" s="5" t="s">
        <v>475</v>
      </c>
      <c r="E345" s="9">
        <v>1</v>
      </c>
      <c r="F345" s="9">
        <v>1</v>
      </c>
      <c r="G345" s="12">
        <f>621.02304*E345*F345</f>
        <v>621.02304</v>
      </c>
      <c r="H345" s="12">
        <f t="shared" si="48"/>
        <v>0</v>
      </c>
      <c r="I345" s="12">
        <f t="shared" si="50"/>
        <v>0</v>
      </c>
      <c r="J345" s="12">
        <f>622.26508608*E345*F345</f>
        <v>622.26508608</v>
      </c>
      <c r="K345" s="12">
        <f>217.575422064*E345*F345</f>
        <v>217.575422064</v>
      </c>
      <c r="L345" s="12">
        <f t="shared" si="46"/>
        <v>0</v>
      </c>
      <c r="M345" s="29">
        <f t="shared" si="49"/>
        <v>1460.863548144</v>
      </c>
      <c r="N345" s="14">
        <f t="shared" si="47"/>
        <v>1460.863548144</v>
      </c>
    </row>
    <row r="346" spans="2:14" ht="40.5" customHeight="1" thickBot="1" thickTop="1">
      <c r="B346" s="7">
        <v>341</v>
      </c>
      <c r="C346" s="5" t="s">
        <v>486</v>
      </c>
      <c r="D346" s="5" t="s">
        <v>267</v>
      </c>
      <c r="E346" s="9">
        <v>1</v>
      </c>
      <c r="F346" s="9">
        <v>1</v>
      </c>
      <c r="G346" s="12">
        <f>546.809736*E346*F346</f>
        <v>546.809736</v>
      </c>
      <c r="H346" s="12">
        <f t="shared" si="48"/>
        <v>0</v>
      </c>
      <c r="I346" s="12">
        <f t="shared" si="50"/>
        <v>0</v>
      </c>
      <c r="J346" s="12">
        <f>547.903355472*E346*F346</f>
        <v>547.903355472</v>
      </c>
      <c r="K346" s="12">
        <f>191.5747910076*E346*F346</f>
        <v>191.5747910076</v>
      </c>
      <c r="L346" s="12">
        <f t="shared" si="46"/>
        <v>0</v>
      </c>
      <c r="M346" s="29">
        <f t="shared" si="49"/>
        <v>1286.2878824796</v>
      </c>
      <c r="N346" s="14">
        <f t="shared" si="47"/>
        <v>1286.2878824796</v>
      </c>
    </row>
    <row r="347" spans="2:14" ht="40.5" customHeight="1" thickBot="1" thickTop="1">
      <c r="B347" s="7">
        <v>342</v>
      </c>
      <c r="C347" s="5" t="s">
        <v>487</v>
      </c>
      <c r="D347" s="5" t="s">
        <v>267</v>
      </c>
      <c r="E347" s="9">
        <v>1</v>
      </c>
      <c r="F347" s="9">
        <v>1</v>
      </c>
      <c r="G347" s="12">
        <f>546.809736*E347*F347</f>
        <v>546.809736</v>
      </c>
      <c r="H347" s="12">
        <f t="shared" si="48"/>
        <v>0</v>
      </c>
      <c r="I347" s="12">
        <f t="shared" si="50"/>
        <v>0</v>
      </c>
      <c r="J347" s="12">
        <f>547.903355472*E347*F347</f>
        <v>547.903355472</v>
      </c>
      <c r="K347" s="12">
        <f>191.5747910076*E347*F347</f>
        <v>191.5747910076</v>
      </c>
      <c r="L347" s="12">
        <f t="shared" si="46"/>
        <v>0</v>
      </c>
      <c r="M347" s="29">
        <f t="shared" si="49"/>
        <v>1286.2878824796</v>
      </c>
      <c r="N347" s="14">
        <f t="shared" si="47"/>
        <v>1286.2878824796</v>
      </c>
    </row>
    <row r="348" spans="2:14" ht="40.5" customHeight="1" thickBot="1" thickTop="1">
      <c r="B348" s="7">
        <v>343</v>
      </c>
      <c r="C348" s="5" t="s">
        <v>488</v>
      </c>
      <c r="D348" s="5" t="s">
        <v>489</v>
      </c>
      <c r="E348" s="9">
        <v>1</v>
      </c>
      <c r="F348" s="9">
        <v>365</v>
      </c>
      <c r="G348" s="12">
        <f>406.7554*E348*F348</f>
        <v>148465.721</v>
      </c>
      <c r="H348" s="12">
        <f t="shared" si="48"/>
        <v>0</v>
      </c>
      <c r="I348" s="12">
        <f t="shared" si="50"/>
        <v>0</v>
      </c>
      <c r="J348" s="12">
        <f>407.5689108*E348*F348</f>
        <v>148762.65244200002</v>
      </c>
      <c r="K348" s="12">
        <f>142.50675439*E348*F348</f>
        <v>52014.96535235</v>
      </c>
      <c r="L348" s="12">
        <f t="shared" si="46"/>
        <v>0</v>
      </c>
      <c r="M348" s="29">
        <f>N348/F348/E348/1000</f>
        <v>0.9568310651900002</v>
      </c>
      <c r="N348" s="14">
        <f t="shared" si="47"/>
        <v>349243.33879435004</v>
      </c>
    </row>
    <row r="349" spans="2:14" ht="40.5" customHeight="1" thickBot="1" thickTop="1">
      <c r="B349" s="7">
        <v>344</v>
      </c>
      <c r="C349" s="5" t="s">
        <v>490</v>
      </c>
      <c r="D349" s="5" t="s">
        <v>489</v>
      </c>
      <c r="E349" s="9">
        <v>1</v>
      </c>
      <c r="F349" s="9">
        <v>365</v>
      </c>
      <c r="G349" s="12">
        <f>412.2954*E349*F349</f>
        <v>150487.821</v>
      </c>
      <c r="H349" s="12">
        <f t="shared" si="48"/>
        <v>0</v>
      </c>
      <c r="I349" s="12">
        <f t="shared" si="50"/>
        <v>0</v>
      </c>
      <c r="J349" s="12">
        <f>413.1199908*E349*F349</f>
        <v>150788.796642</v>
      </c>
      <c r="K349" s="12">
        <f>144.44769339*E349*F349</f>
        <v>52723.408087350006</v>
      </c>
      <c r="L349" s="12">
        <f t="shared" si="46"/>
        <v>0</v>
      </c>
      <c r="M349" s="29">
        <f aca="true" t="shared" si="51" ref="M349:M355">N349/F349/E349/1000</f>
        <v>0.96986308419</v>
      </c>
      <c r="N349" s="14">
        <f t="shared" si="47"/>
        <v>354000.02572935</v>
      </c>
    </row>
    <row r="350" spans="2:14" ht="40.5" customHeight="1" thickBot="1" thickTop="1">
      <c r="B350" s="7">
        <v>345</v>
      </c>
      <c r="C350" s="5" t="s">
        <v>491</v>
      </c>
      <c r="D350" s="5" t="s">
        <v>489</v>
      </c>
      <c r="E350" s="9">
        <v>1</v>
      </c>
      <c r="F350" s="9">
        <v>365</v>
      </c>
      <c r="G350" s="12">
        <f>448.4014*E350*F350</f>
        <v>163666.511</v>
      </c>
      <c r="H350" s="12">
        <f t="shared" si="48"/>
        <v>0</v>
      </c>
      <c r="I350" s="12">
        <f t="shared" si="50"/>
        <v>0</v>
      </c>
      <c r="J350" s="12">
        <f>449.2982028*E350*F350</f>
        <v>163993.844022</v>
      </c>
      <c r="K350" s="12">
        <f>157.09743049*E350*F350</f>
        <v>57340.56212885</v>
      </c>
      <c r="L350" s="12">
        <f t="shared" si="46"/>
        <v>0</v>
      </c>
      <c r="M350" s="29">
        <f t="shared" si="51"/>
        <v>1.05479703329</v>
      </c>
      <c r="N350" s="14">
        <f t="shared" si="47"/>
        <v>385000.91715085006</v>
      </c>
    </row>
    <row r="351" spans="2:14" ht="40.5" customHeight="1" thickBot="1" thickTop="1">
      <c r="B351" s="7">
        <v>346</v>
      </c>
      <c r="C351" s="5" t="s">
        <v>492</v>
      </c>
      <c r="D351" s="5" t="s">
        <v>489</v>
      </c>
      <c r="E351" s="9">
        <v>1</v>
      </c>
      <c r="F351" s="9">
        <v>0</v>
      </c>
      <c r="G351" s="12">
        <f>490.0474*E351*F351</f>
        <v>0</v>
      </c>
      <c r="H351" s="12">
        <f t="shared" si="48"/>
        <v>0</v>
      </c>
      <c r="I351" s="12">
        <f t="shared" si="50"/>
        <v>0</v>
      </c>
      <c r="J351" s="12">
        <f>491.0274948*E351*F351</f>
        <v>0</v>
      </c>
      <c r="K351" s="12">
        <f>171.68810659*E351*F351</f>
        <v>0</v>
      </c>
      <c r="L351" s="12">
        <f t="shared" si="46"/>
        <v>0</v>
      </c>
      <c r="M351" s="29" t="e">
        <f t="shared" si="51"/>
        <v>#DIV/0!</v>
      </c>
      <c r="N351" s="14">
        <f t="shared" si="47"/>
        <v>0</v>
      </c>
    </row>
    <row r="352" spans="2:14" ht="40.5" customHeight="1" thickBot="1" thickTop="1">
      <c r="B352" s="7">
        <v>347</v>
      </c>
      <c r="C352" s="5" t="s">
        <v>493</v>
      </c>
      <c r="D352" s="5" t="s">
        <v>489</v>
      </c>
      <c r="E352" s="9">
        <v>1</v>
      </c>
      <c r="F352" s="9">
        <v>0</v>
      </c>
      <c r="G352" s="12">
        <f>536.9564*E352*F352</f>
        <v>0</v>
      </c>
      <c r="H352" s="12">
        <f t="shared" si="48"/>
        <v>0</v>
      </c>
      <c r="I352" s="12">
        <f t="shared" si="50"/>
        <v>0</v>
      </c>
      <c r="J352" s="12">
        <f>538.0303128*E352*F352</f>
        <v>0</v>
      </c>
      <c r="K352" s="12">
        <f>188.12267474*E352*F352</f>
        <v>0</v>
      </c>
      <c r="L352" s="12">
        <f t="shared" si="46"/>
        <v>0</v>
      </c>
      <c r="M352" s="29" t="e">
        <f t="shared" si="51"/>
        <v>#DIV/0!</v>
      </c>
      <c r="N352" s="14">
        <f t="shared" si="47"/>
        <v>0</v>
      </c>
    </row>
    <row r="353" spans="2:14" ht="40.5" customHeight="1" thickBot="1" thickTop="1">
      <c r="B353" s="7">
        <v>348</v>
      </c>
      <c r="C353" s="5" t="s">
        <v>488</v>
      </c>
      <c r="D353" s="5" t="s">
        <v>494</v>
      </c>
      <c r="E353" s="9">
        <v>1</v>
      </c>
      <c r="F353" s="9">
        <v>1</v>
      </c>
      <c r="G353" s="12">
        <f>332.6638*E353*F353</f>
        <v>332.6638</v>
      </c>
      <c r="H353" s="12">
        <f t="shared" si="48"/>
        <v>0</v>
      </c>
      <c r="I353" s="12">
        <f t="shared" si="50"/>
        <v>0</v>
      </c>
      <c r="J353" s="12">
        <f>333.3291276*E353*F353</f>
        <v>333.3291276</v>
      </c>
      <c r="K353" s="12">
        <f>116.54876233*E353*F353</f>
        <v>116.54876233</v>
      </c>
      <c r="L353" s="12">
        <f t="shared" si="46"/>
        <v>0</v>
      </c>
      <c r="M353" s="29">
        <f t="shared" si="51"/>
        <v>0.7825416899300001</v>
      </c>
      <c r="N353" s="14">
        <f t="shared" si="47"/>
        <v>782.5416899300001</v>
      </c>
    </row>
    <row r="354" spans="2:14" ht="40.5" customHeight="1" thickBot="1" thickTop="1">
      <c r="B354" s="7">
        <v>349</v>
      </c>
      <c r="C354" s="5" t="s">
        <v>490</v>
      </c>
      <c r="D354" s="5" t="s">
        <v>494</v>
      </c>
      <c r="E354" s="9">
        <v>1</v>
      </c>
      <c r="F354" s="9">
        <v>1</v>
      </c>
      <c r="G354" s="12">
        <f>338.2038*E354*F354</f>
        <v>338.2038</v>
      </c>
      <c r="H354" s="12">
        <f t="shared" si="48"/>
        <v>0</v>
      </c>
      <c r="I354" s="12">
        <f t="shared" si="50"/>
        <v>0</v>
      </c>
      <c r="J354" s="12">
        <f>338.8802076*E354*F354</f>
        <v>338.8802076</v>
      </c>
      <c r="K354" s="12">
        <f>118.48970133*E354*F354</f>
        <v>118.48970133</v>
      </c>
      <c r="L354" s="12">
        <f t="shared" si="46"/>
        <v>0</v>
      </c>
      <c r="M354" s="29">
        <f t="shared" si="51"/>
        <v>0.7955737089299999</v>
      </c>
      <c r="N354" s="14">
        <f t="shared" si="47"/>
        <v>795.57370893</v>
      </c>
    </row>
    <row r="355" spans="2:14" ht="40.5" customHeight="1" thickBot="1" thickTop="1">
      <c r="B355" s="7">
        <v>350</v>
      </c>
      <c r="C355" s="5" t="s">
        <v>491</v>
      </c>
      <c r="D355" s="5" t="s">
        <v>494</v>
      </c>
      <c r="E355" s="9">
        <v>1</v>
      </c>
      <c r="F355" s="9">
        <v>1</v>
      </c>
      <c r="G355" s="12">
        <f>366.8258*E355*F355</f>
        <v>366.8258</v>
      </c>
      <c r="H355" s="12">
        <f t="shared" si="48"/>
        <v>0</v>
      </c>
      <c r="I355" s="12">
        <f t="shared" si="50"/>
        <v>0</v>
      </c>
      <c r="J355" s="12">
        <f>367.5594516*E355*F355</f>
        <v>367.5594516</v>
      </c>
      <c r="K355" s="12">
        <f>128.51741903*E355*F355</f>
        <v>128.51741903</v>
      </c>
      <c r="L355" s="12">
        <f t="shared" si="46"/>
        <v>0</v>
      </c>
      <c r="M355" s="29">
        <f t="shared" si="51"/>
        <v>0.86290267063</v>
      </c>
      <c r="N355" s="14">
        <f t="shared" si="47"/>
        <v>862.90267063</v>
      </c>
    </row>
    <row r="356" spans="2:14" ht="40.5" customHeight="1" thickBot="1" thickTop="1">
      <c r="B356" s="7">
        <v>351</v>
      </c>
      <c r="C356" s="5" t="s">
        <v>495</v>
      </c>
      <c r="D356" s="5" t="s">
        <v>305</v>
      </c>
      <c r="E356" s="9">
        <v>1</v>
      </c>
      <c r="F356" s="9">
        <v>1</v>
      </c>
      <c r="G356" s="12">
        <f>6852.5688*E356*F356</f>
        <v>6852.5688</v>
      </c>
      <c r="H356" s="12">
        <f>2446.9886938376*E356*F356</f>
        <v>2446.9886938376</v>
      </c>
      <c r="I356" s="12">
        <f t="shared" si="50"/>
        <v>0</v>
      </c>
      <c r="J356" s="12">
        <f>6866.2739376*E356*F356</f>
        <v>6866.2739376</v>
      </c>
      <c r="K356" s="12">
        <f>2829.0205005016*E356*F356</f>
        <v>2829.0205005016</v>
      </c>
      <c r="L356" s="12">
        <f t="shared" si="46"/>
        <v>0</v>
      </c>
      <c r="M356" s="29">
        <f>N356/F356/E356/100</f>
        <v>189.948519319392</v>
      </c>
      <c r="N356" s="14">
        <f t="shared" si="47"/>
        <v>18994.8519319392</v>
      </c>
    </row>
    <row r="357" spans="2:14" ht="40.5" customHeight="1" thickBot="1" thickTop="1">
      <c r="B357" s="7">
        <v>352</v>
      </c>
      <c r="C357" s="5" t="s">
        <v>496</v>
      </c>
      <c r="D357" s="5" t="s">
        <v>497</v>
      </c>
      <c r="E357" s="9">
        <v>1</v>
      </c>
      <c r="F357" s="9">
        <v>1</v>
      </c>
      <c r="G357" s="12">
        <f>36.38857068*E357*F357</f>
        <v>36.38857068</v>
      </c>
      <c r="H357" s="12">
        <f>319.75776*E357*F357</f>
        <v>319.75776</v>
      </c>
      <c r="I357" s="12">
        <f t="shared" si="50"/>
        <v>0</v>
      </c>
      <c r="J357" s="12">
        <f>36.46134782136*E357*F357</f>
        <v>36.46134782136</v>
      </c>
      <c r="K357" s="12">
        <f>68.706343737738*E357*F357</f>
        <v>68.706343737738</v>
      </c>
      <c r="L357" s="12">
        <f t="shared" si="46"/>
        <v>0</v>
      </c>
      <c r="M357" s="29">
        <f>N357/F357/E357</f>
        <v>461.314022239098</v>
      </c>
      <c r="N357" s="14">
        <f t="shared" si="47"/>
        <v>461.314022239098</v>
      </c>
    </row>
    <row r="358" spans="2:14" ht="40.5" customHeight="1" thickBot="1" thickTop="1">
      <c r="B358" s="7">
        <v>353</v>
      </c>
      <c r="C358" s="5" t="s">
        <v>498</v>
      </c>
      <c r="D358" s="5" t="s">
        <v>499</v>
      </c>
      <c r="E358" s="9">
        <v>1</v>
      </c>
      <c r="F358" s="9">
        <v>1</v>
      </c>
      <c r="G358" s="12">
        <f>6.670177304076*E358*F358</f>
        <v>6.670177304076</v>
      </c>
      <c r="H358" s="12">
        <f>0*E358*F358</f>
        <v>0</v>
      </c>
      <c r="I358" s="12">
        <f t="shared" si="50"/>
        <v>0</v>
      </c>
      <c r="J358" s="12">
        <f>6.6835176586842*E358*F358</f>
        <v>6.6835176586842</v>
      </c>
      <c r="K358" s="12">
        <f>2.336896618483*E358*F358</f>
        <v>2.336896618483</v>
      </c>
      <c r="L358" s="12">
        <f t="shared" si="46"/>
        <v>0</v>
      </c>
      <c r="M358" s="29">
        <f>N358/F358/E358</f>
        <v>15.690591581243199</v>
      </c>
      <c r="N358" s="14">
        <f t="shared" si="47"/>
        <v>15.690591581243199</v>
      </c>
    </row>
    <row r="359" spans="2:14" ht="40.5" customHeight="1" thickBot="1" thickTop="1">
      <c r="B359" s="7">
        <v>354</v>
      </c>
      <c r="C359" s="5" t="s">
        <v>500</v>
      </c>
      <c r="D359" s="5" t="s">
        <v>305</v>
      </c>
      <c r="E359" s="9">
        <v>1</v>
      </c>
      <c r="F359" s="9">
        <v>1</v>
      </c>
      <c r="G359" s="12">
        <f>6852.5688*E359*F359</f>
        <v>6852.5688</v>
      </c>
      <c r="H359" s="12">
        <f>2446.9886938376*E359*F359</f>
        <v>2446.9886938376</v>
      </c>
      <c r="I359" s="12">
        <f t="shared" si="50"/>
        <v>0</v>
      </c>
      <c r="J359" s="12">
        <f>6866.2739376*E359*F359</f>
        <v>6866.2739376</v>
      </c>
      <c r="K359" s="12">
        <f>2829.0205005016*E359*F359</f>
        <v>2829.0205005016</v>
      </c>
      <c r="L359" s="12">
        <f t="shared" si="46"/>
        <v>0</v>
      </c>
      <c r="M359" s="29">
        <f>N359/F359/E359/100</f>
        <v>189.948519319392</v>
      </c>
      <c r="N359" s="14">
        <f t="shared" si="47"/>
        <v>18994.8519319392</v>
      </c>
    </row>
    <row r="360" spans="2:14" ht="40.5" customHeight="1" thickBot="1" thickTop="1">
      <c r="B360" s="36" t="s">
        <v>501</v>
      </c>
      <c r="C360" s="37"/>
      <c r="D360" s="37"/>
      <c r="E360" s="37"/>
      <c r="F360" s="37"/>
      <c r="G360" s="38"/>
      <c r="H360" s="38"/>
      <c r="I360" s="38"/>
      <c r="J360" s="38"/>
      <c r="K360" s="38"/>
      <c r="L360" s="38"/>
      <c r="M360" s="38"/>
      <c r="N360" s="39"/>
    </row>
    <row r="361" spans="2:14" ht="40.5" customHeight="1" thickBot="1" thickTop="1">
      <c r="B361" s="6">
        <v>355</v>
      </c>
      <c r="C361" s="4" t="s">
        <v>502</v>
      </c>
      <c r="D361" s="4" t="s">
        <v>503</v>
      </c>
      <c r="E361" s="8">
        <v>1</v>
      </c>
      <c r="F361" s="8">
        <v>365</v>
      </c>
      <c r="G361" s="11">
        <f>112.7302308*E361*F361</f>
        <v>41146.534242</v>
      </c>
      <c r="H361" s="11">
        <f>1.2119436*E361*F361</f>
        <v>442.35941399999996</v>
      </c>
      <c r="I361" s="11">
        <f aca="true" t="shared" si="52" ref="I361:I375">0*E361*F361</f>
        <v>0</v>
      </c>
      <c r="J361" s="11">
        <f>112.9556912616*E361*F361</f>
        <v>41228.827310484</v>
      </c>
      <c r="K361" s="11">
        <f>39.70712649078*E361*F361</f>
        <v>14493.1011691347</v>
      </c>
      <c r="L361" s="11">
        <f aca="true" t="shared" si="53" ref="L361:L392">0*E361*F361</f>
        <v>0</v>
      </c>
      <c r="M361" s="29">
        <f>N361/F361/E361</f>
        <v>266.60499215237996</v>
      </c>
      <c r="N361" s="13">
        <f aca="true" t="shared" si="54" ref="N361:N392">SUM(G361:L361)</f>
        <v>97310.82213561868</v>
      </c>
    </row>
    <row r="362" spans="2:14" ht="40.5" customHeight="1" thickBot="1" thickTop="1">
      <c r="B362" s="7">
        <v>356</v>
      </c>
      <c r="C362" s="5" t="s">
        <v>504</v>
      </c>
      <c r="D362" s="5" t="s">
        <v>505</v>
      </c>
      <c r="E362" s="9">
        <v>1</v>
      </c>
      <c r="F362" s="9">
        <v>365</v>
      </c>
      <c r="G362" s="12">
        <f>145.0956012*E362*F362</f>
        <v>52959.894438</v>
      </c>
      <c r="H362" s="12">
        <f>1.549481184*E362*F362</f>
        <v>565.56063216</v>
      </c>
      <c r="I362" s="12">
        <f t="shared" si="52"/>
        <v>0</v>
      </c>
      <c r="J362" s="12">
        <f>145.3857924024*E362*F362</f>
        <v>53065.814226876</v>
      </c>
      <c r="K362" s="12">
        <f>51.10540308762*E362*F362</f>
        <v>18653.472126981298</v>
      </c>
      <c r="L362" s="12">
        <f t="shared" si="53"/>
        <v>0</v>
      </c>
      <c r="M362" s="29">
        <f>N362/F362/E362/100</f>
        <v>3.4313627787402</v>
      </c>
      <c r="N362" s="14">
        <f t="shared" si="54"/>
        <v>125244.7414240173</v>
      </c>
    </row>
    <row r="363" spans="2:14" ht="40.5" customHeight="1" thickBot="1" thickTop="1">
      <c r="B363" s="7">
        <v>357</v>
      </c>
      <c r="C363" s="5" t="s">
        <v>506</v>
      </c>
      <c r="D363" s="5" t="s">
        <v>505</v>
      </c>
      <c r="E363" s="9">
        <v>1</v>
      </c>
      <c r="F363" s="9">
        <v>365</v>
      </c>
      <c r="G363" s="12">
        <f>157.4062776*E363*F363</f>
        <v>57453.291324000005</v>
      </c>
      <c r="H363" s="12">
        <f>1.549481184*E363*F363</f>
        <v>565.56063216</v>
      </c>
      <c r="I363" s="12">
        <f t="shared" si="52"/>
        <v>0</v>
      </c>
      <c r="J363" s="12">
        <f>157.7210901552*E363*F363</f>
        <v>57568.197906648</v>
      </c>
      <c r="K363" s="12">
        <f>55.41844856436*E363*F363</f>
        <v>20227.7337259914</v>
      </c>
      <c r="L363" s="12">
        <f t="shared" si="53"/>
        <v>0</v>
      </c>
      <c r="M363" s="29">
        <f aca="true" t="shared" si="55" ref="M363:M379">N363/F363/E363/100</f>
        <v>3.7209529750355994</v>
      </c>
      <c r="N363" s="14">
        <f t="shared" si="54"/>
        <v>135814.7835887994</v>
      </c>
    </row>
    <row r="364" spans="2:14" ht="40.5" customHeight="1" thickBot="1" thickTop="1">
      <c r="B364" s="7">
        <v>358</v>
      </c>
      <c r="C364" s="5" t="s">
        <v>507</v>
      </c>
      <c r="D364" s="5" t="s">
        <v>505</v>
      </c>
      <c r="E364" s="9">
        <v>1</v>
      </c>
      <c r="F364" s="9">
        <v>1</v>
      </c>
      <c r="G364" s="12">
        <f>1099.4168904571*E364*F364</f>
        <v>1099.4168904571</v>
      </c>
      <c r="H364" s="12">
        <f>813.25008*E364*F364</f>
        <v>813.25008</v>
      </c>
      <c r="I364" s="12">
        <f t="shared" si="52"/>
        <v>0</v>
      </c>
      <c r="J364" s="12">
        <f>1101.6157242381*E364*F364</f>
        <v>1101.6157242381</v>
      </c>
      <c r="K364" s="12">
        <f>527.49947157166*E364*F364</f>
        <v>527.49947157166</v>
      </c>
      <c r="L364" s="12">
        <f t="shared" si="53"/>
        <v>0</v>
      </c>
      <c r="M364" s="29">
        <f t="shared" si="55"/>
        <v>35.4178216626686</v>
      </c>
      <c r="N364" s="14">
        <f t="shared" si="54"/>
        <v>3541.7821662668603</v>
      </c>
    </row>
    <row r="365" spans="2:14" ht="40.5" customHeight="1" thickBot="1" thickTop="1">
      <c r="B365" s="7">
        <v>359</v>
      </c>
      <c r="C365" s="5" t="s">
        <v>508</v>
      </c>
      <c r="D365" s="5" t="s">
        <v>505</v>
      </c>
      <c r="E365" s="9">
        <v>1</v>
      </c>
      <c r="F365" s="9">
        <v>1</v>
      </c>
      <c r="G365" s="12">
        <f>1192.6972204959*E365*F365</f>
        <v>1192.6972204959</v>
      </c>
      <c r="H365" s="12">
        <f>813.25008*E365*F365</f>
        <v>813.25008</v>
      </c>
      <c r="I365" s="12">
        <f t="shared" si="52"/>
        <v>0</v>
      </c>
      <c r="J365" s="12">
        <f>1195.0826149369*E365*F365</f>
        <v>1195.0826149369</v>
      </c>
      <c r="K365" s="12">
        <f>560.18023520075*E365*F365</f>
        <v>560.18023520075</v>
      </c>
      <c r="L365" s="12">
        <f t="shared" si="53"/>
        <v>0</v>
      </c>
      <c r="M365" s="29">
        <f t="shared" si="55"/>
        <v>37.6121015063355</v>
      </c>
      <c r="N365" s="14">
        <f t="shared" si="54"/>
        <v>3761.21015063355</v>
      </c>
    </row>
    <row r="366" spans="2:14" ht="40.5" customHeight="1" thickBot="1" thickTop="1">
      <c r="B366" s="7">
        <v>360</v>
      </c>
      <c r="C366" s="5" t="s">
        <v>509</v>
      </c>
      <c r="D366" s="5" t="s">
        <v>510</v>
      </c>
      <c r="E366" s="9">
        <v>1</v>
      </c>
      <c r="F366" s="9">
        <v>1</v>
      </c>
      <c r="G366" s="12">
        <f>246.85452*E366*F366</f>
        <v>246.85452</v>
      </c>
      <c r="H366" s="12">
        <f>710.8215984*E366*F366</f>
        <v>710.8215984</v>
      </c>
      <c r="I366" s="12">
        <f t="shared" si="52"/>
        <v>0</v>
      </c>
      <c r="J366" s="12">
        <f>247.34822904*E366*F366</f>
        <v>247.34822904</v>
      </c>
      <c r="K366" s="12">
        <f>210.879260802*E366*F366</f>
        <v>210.879260802</v>
      </c>
      <c r="L366" s="12">
        <f t="shared" si="53"/>
        <v>0</v>
      </c>
      <c r="M366" s="29">
        <f t="shared" si="55"/>
        <v>14.15903608242</v>
      </c>
      <c r="N366" s="14">
        <f t="shared" si="54"/>
        <v>1415.903608242</v>
      </c>
    </row>
    <row r="367" spans="2:14" ht="40.5" customHeight="1" thickBot="1" thickTop="1">
      <c r="B367" s="7">
        <v>361</v>
      </c>
      <c r="C367" s="5" t="s">
        <v>511</v>
      </c>
      <c r="D367" s="5" t="s">
        <v>510</v>
      </c>
      <c r="E367" s="9">
        <v>1</v>
      </c>
      <c r="F367" s="9">
        <v>1</v>
      </c>
      <c r="G367" s="12">
        <f>470.395002*E367*F367</f>
        <v>470.395002</v>
      </c>
      <c r="H367" s="12">
        <f>710.8215984*E367*F367</f>
        <v>710.8215984</v>
      </c>
      <c r="I367" s="12">
        <f t="shared" si="52"/>
        <v>0</v>
      </c>
      <c r="J367" s="12">
        <f>471.335792004*E367*F367</f>
        <v>471.335792004</v>
      </c>
      <c r="K367" s="12">
        <f>289.1966686707*E367*F367</f>
        <v>289.1966686707</v>
      </c>
      <c r="L367" s="12">
        <f t="shared" si="53"/>
        <v>0</v>
      </c>
      <c r="M367" s="29">
        <f t="shared" si="55"/>
        <v>19.417490610747</v>
      </c>
      <c r="N367" s="14">
        <f t="shared" si="54"/>
        <v>1941.7490610747</v>
      </c>
    </row>
    <row r="368" spans="2:14" ht="40.5" customHeight="1" thickBot="1" thickTop="1">
      <c r="B368" s="7">
        <v>362</v>
      </c>
      <c r="C368" s="5" t="s">
        <v>512</v>
      </c>
      <c r="D368" s="5" t="s">
        <v>513</v>
      </c>
      <c r="E368" s="9">
        <v>1</v>
      </c>
      <c r="F368" s="9">
        <v>2</v>
      </c>
      <c r="G368" s="12">
        <f>57.031259504076*E368*F368</f>
        <v>114.062519008152</v>
      </c>
      <c r="H368" s="12">
        <f>0.287293965408*E368*F368</f>
        <v>0.574587930816</v>
      </c>
      <c r="I368" s="12">
        <f t="shared" si="52"/>
        <v>0</v>
      </c>
      <c r="J368" s="12">
        <f>57.145322023084*E368*F368</f>
        <v>114.290644046168</v>
      </c>
      <c r="K368" s="12">
        <f>20.031178211199*E368*F368</f>
        <v>40.062356422398</v>
      </c>
      <c r="L368" s="12">
        <f t="shared" si="53"/>
        <v>0</v>
      </c>
      <c r="M368" s="29">
        <f t="shared" si="55"/>
        <v>1.3449505370376698</v>
      </c>
      <c r="N368" s="14">
        <f t="shared" si="54"/>
        <v>268.99010740753397</v>
      </c>
    </row>
    <row r="369" spans="2:14" ht="40.5" customHeight="1" thickBot="1" thickTop="1">
      <c r="B369" s="7">
        <v>363</v>
      </c>
      <c r="C369" s="5" t="s">
        <v>514</v>
      </c>
      <c r="D369" s="5" t="s">
        <v>515</v>
      </c>
      <c r="E369" s="9">
        <v>1</v>
      </c>
      <c r="F369" s="9">
        <v>2</v>
      </c>
      <c r="G369" s="12">
        <f>57.827957457138*E369*F369</f>
        <v>115.655914914276</v>
      </c>
      <c r="H369" s="12">
        <f>66.275316*E369*F369</f>
        <v>132.550632</v>
      </c>
      <c r="I369" s="12">
        <f t="shared" si="52"/>
        <v>0</v>
      </c>
      <c r="J369" s="12">
        <f>57.943613372052*E369*F369</f>
        <v>115.887226744104</v>
      </c>
      <c r="K369" s="12">
        <f>31.858205195108*E369*F369</f>
        <v>63.716410390216</v>
      </c>
      <c r="L369" s="12">
        <f t="shared" si="53"/>
        <v>0</v>
      </c>
      <c r="M369" s="29">
        <f>N369/F369/E369</f>
        <v>213.90509202429797</v>
      </c>
      <c r="N369" s="14">
        <f t="shared" si="54"/>
        <v>427.81018404859594</v>
      </c>
    </row>
    <row r="370" spans="2:14" ht="40.5" customHeight="1" thickBot="1" thickTop="1">
      <c r="B370" s="7">
        <v>364</v>
      </c>
      <c r="C370" s="5" t="s">
        <v>516</v>
      </c>
      <c r="D370" s="5" t="s">
        <v>515</v>
      </c>
      <c r="E370" s="9">
        <v>1</v>
      </c>
      <c r="F370" s="9">
        <v>2</v>
      </c>
      <c r="G370" s="12">
        <f>98.741808*E370*F370</f>
        <v>197.483616</v>
      </c>
      <c r="H370" s="12">
        <f>66.275316*E370*F370</f>
        <v>132.550632</v>
      </c>
      <c r="I370" s="12">
        <f t="shared" si="52"/>
        <v>0</v>
      </c>
      <c r="J370" s="12">
        <f>98.939291616*E370*F370</f>
        <v>197.878583232</v>
      </c>
      <c r="K370" s="12">
        <f>46.1923727328*E370*F370</f>
        <v>92.3847454656</v>
      </c>
      <c r="L370" s="12">
        <f t="shared" si="53"/>
        <v>0</v>
      </c>
      <c r="M370" s="29">
        <f>N370/F370/E370</f>
        <v>310.1487883488</v>
      </c>
      <c r="N370" s="14">
        <f t="shared" si="54"/>
        <v>620.2975766976</v>
      </c>
    </row>
    <row r="371" spans="2:14" ht="40.5" customHeight="1" thickBot="1" thickTop="1">
      <c r="B371" s="7">
        <v>365</v>
      </c>
      <c r="C371" s="5" t="s">
        <v>517</v>
      </c>
      <c r="D371" s="5" t="s">
        <v>518</v>
      </c>
      <c r="E371" s="9">
        <v>1</v>
      </c>
      <c r="F371" s="9">
        <v>1</v>
      </c>
      <c r="G371" s="12">
        <f>2942.5058784*E371*F371</f>
        <v>2942.5058784</v>
      </c>
      <c r="H371" s="12">
        <f>4.6572343736112*E371*F371</f>
        <v>4.6572343736112</v>
      </c>
      <c r="I371" s="12">
        <f t="shared" si="52"/>
        <v>0</v>
      </c>
      <c r="J371" s="12">
        <f>2948.3908901568*E371*F371</f>
        <v>2948.3908901568</v>
      </c>
      <c r="K371" s="12">
        <f>1031.7219505128*E371*F371</f>
        <v>1031.7219505128</v>
      </c>
      <c r="L371" s="12">
        <f t="shared" si="53"/>
        <v>0</v>
      </c>
      <c r="M371" s="29">
        <f t="shared" si="55"/>
        <v>69.27275953443211</v>
      </c>
      <c r="N371" s="14">
        <f t="shared" si="54"/>
        <v>6927.275953443212</v>
      </c>
    </row>
    <row r="372" spans="2:14" ht="40.5" customHeight="1" thickBot="1" thickTop="1">
      <c r="B372" s="7">
        <v>366</v>
      </c>
      <c r="C372" s="5" t="s">
        <v>519</v>
      </c>
      <c r="D372" s="5" t="s">
        <v>520</v>
      </c>
      <c r="E372" s="9">
        <v>1</v>
      </c>
      <c r="F372" s="9">
        <v>8</v>
      </c>
      <c r="G372" s="12">
        <f>5.1428025*E372*F372</f>
        <v>41.14242</v>
      </c>
      <c r="H372" s="12">
        <f>772.344*E372*F372</f>
        <v>6178.752</v>
      </c>
      <c r="I372" s="12">
        <f t="shared" si="52"/>
        <v>0</v>
      </c>
      <c r="J372" s="12">
        <f>5.153088105*E372*F372</f>
        <v>41.22470484</v>
      </c>
      <c r="K372" s="12">
        <f>136.96198085587*E372*F372</f>
        <v>1095.69584684696</v>
      </c>
      <c r="L372" s="12">
        <f t="shared" si="53"/>
        <v>0</v>
      </c>
      <c r="M372" s="29">
        <f>N372/F372/E372</f>
        <v>919.6018714608701</v>
      </c>
      <c r="N372" s="14">
        <f t="shared" si="54"/>
        <v>7356.814971686961</v>
      </c>
    </row>
    <row r="373" spans="2:14" ht="40.5" customHeight="1" thickBot="1" thickTop="1">
      <c r="B373" s="7">
        <v>367</v>
      </c>
      <c r="C373" s="5" t="s">
        <v>521</v>
      </c>
      <c r="D373" s="5" t="s">
        <v>522</v>
      </c>
      <c r="E373" s="9">
        <v>1</v>
      </c>
      <c r="F373" s="9">
        <v>1</v>
      </c>
      <c r="G373" s="12">
        <f>20040.3522*E373*F373</f>
        <v>20040.3522</v>
      </c>
      <c r="H373" s="12">
        <f>2876.073091632*E373*F373</f>
        <v>2876.073091632</v>
      </c>
      <c r="I373" s="12">
        <f t="shared" si="52"/>
        <v>0</v>
      </c>
      <c r="J373" s="12">
        <f>20080.4329044*E373*F373</f>
        <v>20080.4329044</v>
      </c>
      <c r="K373" s="12">
        <f>7524.4501843056*E373*F373</f>
        <v>7524.4501843056</v>
      </c>
      <c r="L373" s="12">
        <f t="shared" si="53"/>
        <v>0</v>
      </c>
      <c r="M373" s="29">
        <f t="shared" si="55"/>
        <v>505.213083803376</v>
      </c>
      <c r="N373" s="14">
        <f t="shared" si="54"/>
        <v>50521.3083803376</v>
      </c>
    </row>
    <row r="374" spans="2:14" ht="40.5" customHeight="1" thickBot="1" thickTop="1">
      <c r="B374" s="7">
        <v>368</v>
      </c>
      <c r="C374" s="5" t="s">
        <v>523</v>
      </c>
      <c r="D374" s="5" t="s">
        <v>524</v>
      </c>
      <c r="E374" s="9">
        <v>1</v>
      </c>
      <c r="F374" s="9">
        <v>2</v>
      </c>
      <c r="G374" s="12">
        <f>131.19860645714*E374*F374</f>
        <v>262.39721291428</v>
      </c>
      <c r="H374" s="12">
        <f>6.84901480392*E374*F374</f>
        <v>13.69802960784</v>
      </c>
      <c r="I374" s="12">
        <f t="shared" si="52"/>
        <v>0</v>
      </c>
      <c r="J374" s="12">
        <f>131.46100367005*E374*F374</f>
        <v>262.9220073401</v>
      </c>
      <c r="K374" s="12">
        <f>47.164009362944*E374*F374</f>
        <v>94.328018725888</v>
      </c>
      <c r="L374" s="12">
        <f t="shared" si="53"/>
        <v>0</v>
      </c>
      <c r="M374" s="29">
        <f>N374/F374/E374/10</f>
        <v>31.6672634294054</v>
      </c>
      <c r="N374" s="14">
        <f t="shared" si="54"/>
        <v>633.345268588108</v>
      </c>
    </row>
    <row r="375" spans="2:14" ht="40.5" customHeight="1" thickBot="1" thickTop="1">
      <c r="B375" s="7">
        <v>369</v>
      </c>
      <c r="C375" s="5" t="s">
        <v>525</v>
      </c>
      <c r="D375" s="5" t="s">
        <v>526</v>
      </c>
      <c r="E375" s="9">
        <v>1</v>
      </c>
      <c r="F375" s="9">
        <v>2</v>
      </c>
      <c r="G375" s="12">
        <f>49.142334542862*E375*F375</f>
        <v>98.284669085724</v>
      </c>
      <c r="H375" s="12">
        <f>47.46083609736*E375*F375</f>
        <v>94.92167219472</v>
      </c>
      <c r="I375" s="12">
        <f t="shared" si="52"/>
        <v>0</v>
      </c>
      <c r="J375" s="12">
        <f>49.240619211948*E375*F375</f>
        <v>98.481238423896</v>
      </c>
      <c r="K375" s="12">
        <f>25.52266322413*E375*F375</f>
        <v>51.04532644826</v>
      </c>
      <c r="L375" s="12">
        <f t="shared" si="53"/>
        <v>0</v>
      </c>
      <c r="M375" s="29">
        <f>N375/F375/E375/10</f>
        <v>17.136645307629998</v>
      </c>
      <c r="N375" s="14">
        <f t="shared" si="54"/>
        <v>342.7329061526</v>
      </c>
    </row>
    <row r="376" spans="2:14" ht="40.5" customHeight="1" thickBot="1" thickTop="1">
      <c r="B376" s="7">
        <v>370</v>
      </c>
      <c r="C376" s="5" t="s">
        <v>34</v>
      </c>
      <c r="D376" s="5" t="s">
        <v>35</v>
      </c>
      <c r="E376" s="9">
        <v>1</v>
      </c>
      <c r="F376" s="9">
        <v>1</v>
      </c>
      <c r="G376" s="12">
        <f>1948.309902*E376*F376</f>
        <v>1948.309902</v>
      </c>
      <c r="H376" s="12">
        <f>835.841034288*E376*F376</f>
        <v>835.841034288</v>
      </c>
      <c r="I376" s="12">
        <f>659.412*E376*F376</f>
        <v>659.412</v>
      </c>
      <c r="J376" s="12">
        <f>1952.206521804*E376*F376</f>
        <v>1952.206521804</v>
      </c>
      <c r="K376" s="12">
        <f>944.2596551661*E376*F376</f>
        <v>944.2596551661</v>
      </c>
      <c r="L376" s="12">
        <f t="shared" si="53"/>
        <v>0</v>
      </c>
      <c r="M376" s="29">
        <f t="shared" si="55"/>
        <v>63.400291132580996</v>
      </c>
      <c r="N376" s="14">
        <f t="shared" si="54"/>
        <v>6340.0291132581</v>
      </c>
    </row>
    <row r="377" spans="2:14" ht="40.5" customHeight="1" thickBot="1" thickTop="1">
      <c r="B377" s="7">
        <v>371</v>
      </c>
      <c r="C377" s="5" t="s">
        <v>527</v>
      </c>
      <c r="D377" s="5" t="s">
        <v>35</v>
      </c>
      <c r="E377" s="9">
        <v>1</v>
      </c>
      <c r="F377" s="9">
        <v>1</v>
      </c>
      <c r="G377" s="12">
        <f>2323.643784*E377*F377</f>
        <v>2323.643784</v>
      </c>
      <c r="H377" s="12">
        <f>1171.361833488*E377*F377</f>
        <v>1171.361833488</v>
      </c>
      <c r="I377" s="12">
        <f>787.337928*E377*F377</f>
        <v>787.337928</v>
      </c>
      <c r="J377" s="12">
        <f>2328.291071568*E377*F377</f>
        <v>2328.291071568</v>
      </c>
      <c r="K377" s="12">
        <f>1156.8610579848*E377*F377</f>
        <v>1156.8610579848</v>
      </c>
      <c r="L377" s="12">
        <f t="shared" si="53"/>
        <v>0</v>
      </c>
      <c r="M377" s="29">
        <f t="shared" si="55"/>
        <v>77.674956750408</v>
      </c>
      <c r="N377" s="14">
        <f t="shared" si="54"/>
        <v>7767.4956750408</v>
      </c>
    </row>
    <row r="378" spans="2:14" ht="40.5" customHeight="1" thickBot="1" thickTop="1">
      <c r="B378" s="7">
        <v>372</v>
      </c>
      <c r="C378" s="5" t="s">
        <v>528</v>
      </c>
      <c r="D378" s="5" t="s">
        <v>35</v>
      </c>
      <c r="E378" s="9">
        <v>1</v>
      </c>
      <c r="F378" s="9">
        <v>1</v>
      </c>
      <c r="G378" s="12">
        <f>1681.99416*E378*F378</f>
        <v>1681.99416</v>
      </c>
      <c r="H378" s="12">
        <f>265.916119968*E378*F378</f>
        <v>265.916119968</v>
      </c>
      <c r="I378" s="12">
        <f>569.731968*E378*F378</f>
        <v>569.731968</v>
      </c>
      <c r="J378" s="12">
        <f>1685.35814832*E378*F378</f>
        <v>1685.35814832</v>
      </c>
      <c r="K378" s="12">
        <f>735.5250693504*E378*F378</f>
        <v>735.5250693504</v>
      </c>
      <c r="L378" s="12">
        <f t="shared" si="53"/>
        <v>0</v>
      </c>
      <c r="M378" s="29">
        <f t="shared" si="55"/>
        <v>49.38525465638401</v>
      </c>
      <c r="N378" s="14">
        <f t="shared" si="54"/>
        <v>4938.5254656384</v>
      </c>
    </row>
    <row r="379" spans="2:14" ht="40.5" customHeight="1" thickBot="1" thickTop="1">
      <c r="B379" s="7">
        <v>373</v>
      </c>
      <c r="C379" s="5" t="s">
        <v>529</v>
      </c>
      <c r="D379" s="5" t="s">
        <v>35</v>
      </c>
      <c r="E379" s="9">
        <v>1</v>
      </c>
      <c r="F379" s="9">
        <v>1</v>
      </c>
      <c r="G379" s="12">
        <f>1681.99416*E379*F379</f>
        <v>1681.99416</v>
      </c>
      <c r="H379" s="12">
        <f>533.2170530952*E379*F379</f>
        <v>533.2170530952</v>
      </c>
      <c r="I379" s="12">
        <f>569.731968*E379*F379</f>
        <v>569.731968</v>
      </c>
      <c r="J379" s="12">
        <f>1685.35814832*E379*F379</f>
        <v>1685.35814832</v>
      </c>
      <c r="K379" s="12">
        <f>782.30273264766*E379*F379</f>
        <v>782.30273264766</v>
      </c>
      <c r="L379" s="12">
        <f t="shared" si="53"/>
        <v>0</v>
      </c>
      <c r="M379" s="29">
        <f t="shared" si="55"/>
        <v>52.526040620628606</v>
      </c>
      <c r="N379" s="14">
        <f t="shared" si="54"/>
        <v>5252.604062062861</v>
      </c>
    </row>
    <row r="380" spans="2:14" ht="40.5" customHeight="1" thickBot="1" thickTop="1">
      <c r="B380" s="7">
        <v>374</v>
      </c>
      <c r="C380" s="5" t="s">
        <v>530</v>
      </c>
      <c r="D380" s="5" t="s">
        <v>531</v>
      </c>
      <c r="E380" s="9">
        <v>1</v>
      </c>
      <c r="F380" s="9">
        <v>1</v>
      </c>
      <c r="G380" s="12">
        <f>182.398062*E380*F380</f>
        <v>182.398062</v>
      </c>
      <c r="H380" s="12">
        <f>5.396802048*E380*F380</f>
        <v>5.396802048</v>
      </c>
      <c r="I380" s="12">
        <f aca="true" t="shared" si="56" ref="I380:I394">0*E380*F380</f>
        <v>0</v>
      </c>
      <c r="J380" s="12">
        <f>182.762858124*E380*F380</f>
        <v>182.762858124</v>
      </c>
      <c r="K380" s="12">
        <f>64.8476013801*E380*F380</f>
        <v>64.8476013801</v>
      </c>
      <c r="L380" s="12">
        <f t="shared" si="53"/>
        <v>0</v>
      </c>
      <c r="M380" s="29">
        <f>N380/F380/E380/1000</f>
        <v>0.4354053235521</v>
      </c>
      <c r="N380" s="14">
        <f t="shared" si="54"/>
        <v>435.4053235521</v>
      </c>
    </row>
    <row r="381" spans="2:14" ht="40.5" customHeight="1" thickBot="1" thickTop="1">
      <c r="B381" s="7">
        <v>375</v>
      </c>
      <c r="C381" s="5" t="s">
        <v>532</v>
      </c>
      <c r="D381" s="5" t="s">
        <v>531</v>
      </c>
      <c r="E381" s="9">
        <v>1</v>
      </c>
      <c r="F381" s="9">
        <v>1</v>
      </c>
      <c r="G381" s="12">
        <f>229.026138*E381*F381</f>
        <v>229.026138</v>
      </c>
      <c r="H381" s="12">
        <f>5.867033472*E381*F381</f>
        <v>5.867033472</v>
      </c>
      <c r="I381" s="12">
        <f t="shared" si="56"/>
        <v>0</v>
      </c>
      <c r="J381" s="12">
        <f>229.484190276*E381*F381</f>
        <v>229.484190276</v>
      </c>
      <c r="K381" s="12">
        <f>81.2660383059*E381*F381</f>
        <v>81.2660383059</v>
      </c>
      <c r="L381" s="12">
        <f t="shared" si="53"/>
        <v>0</v>
      </c>
      <c r="M381" s="29">
        <f aca="true" t="shared" si="57" ref="M381:M388">N381/F381/E381/1000</f>
        <v>0.5456434000539</v>
      </c>
      <c r="N381" s="14">
        <f t="shared" si="54"/>
        <v>545.6434000539</v>
      </c>
    </row>
    <row r="382" spans="2:14" ht="40.5" customHeight="1" thickBot="1" thickTop="1">
      <c r="B382" s="7">
        <v>376</v>
      </c>
      <c r="C382" s="5" t="s">
        <v>533</v>
      </c>
      <c r="D382" s="5" t="s">
        <v>531</v>
      </c>
      <c r="E382" s="9">
        <v>1</v>
      </c>
      <c r="F382" s="9">
        <v>1</v>
      </c>
      <c r="G382" s="12">
        <f>274.2828*E382*F382</f>
        <v>274.2828</v>
      </c>
      <c r="H382" s="12">
        <f>7.451349696*E382*F382</f>
        <v>7.451349696</v>
      </c>
      <c r="I382" s="12">
        <f t="shared" si="56"/>
        <v>0</v>
      </c>
      <c r="J382" s="12">
        <f>274.8313656*E382*F382</f>
        <v>274.8313656</v>
      </c>
      <c r="K382" s="12">
        <f>97.3989651768*E382*F382</f>
        <v>97.3989651768</v>
      </c>
      <c r="L382" s="12">
        <f t="shared" si="53"/>
        <v>0</v>
      </c>
      <c r="M382" s="29">
        <f t="shared" si="57"/>
        <v>0.6539644804728</v>
      </c>
      <c r="N382" s="14">
        <f t="shared" si="54"/>
        <v>653.9644804728</v>
      </c>
    </row>
    <row r="383" spans="2:14" ht="40.5" customHeight="1" thickBot="1" thickTop="1">
      <c r="B383" s="7">
        <v>377</v>
      </c>
      <c r="C383" s="5" t="s">
        <v>534</v>
      </c>
      <c r="D383" s="5" t="s">
        <v>531</v>
      </c>
      <c r="E383" s="9">
        <v>1</v>
      </c>
      <c r="F383" s="9">
        <v>1</v>
      </c>
      <c r="G383" s="12">
        <f>250.968762*E383*F383</f>
        <v>250.968762</v>
      </c>
      <c r="H383" s="12">
        <f>6.981118272*E383*F383</f>
        <v>6.981118272</v>
      </c>
      <c r="I383" s="12">
        <f t="shared" si="56"/>
        <v>0</v>
      </c>
      <c r="J383" s="12">
        <f>251.470699524*E383*F383</f>
        <v>251.470699524</v>
      </c>
      <c r="K383" s="12">
        <f>89.1486014643*E383*F383</f>
        <v>89.1486014643</v>
      </c>
      <c r="L383" s="12">
        <f t="shared" si="53"/>
        <v>0</v>
      </c>
      <c r="M383" s="29">
        <f t="shared" si="57"/>
        <v>0.5985691812603</v>
      </c>
      <c r="N383" s="14">
        <f t="shared" si="54"/>
        <v>598.5691812603</v>
      </c>
    </row>
    <row r="384" spans="2:14" ht="40.5" customHeight="1" thickBot="1" thickTop="1">
      <c r="B384" s="7">
        <v>378</v>
      </c>
      <c r="C384" s="5" t="s">
        <v>535</v>
      </c>
      <c r="D384" s="5" t="s">
        <v>531</v>
      </c>
      <c r="E384" s="9">
        <v>1</v>
      </c>
      <c r="F384" s="9">
        <v>1</v>
      </c>
      <c r="G384" s="12">
        <f>297.596838*E384*F384</f>
        <v>297.596838</v>
      </c>
      <c r="H384" s="12">
        <f>8.565434496*E384*F384</f>
        <v>8.565434496</v>
      </c>
      <c r="I384" s="12">
        <f t="shared" si="56"/>
        <v>0</v>
      </c>
      <c r="J384" s="12">
        <f>298.192031676*E384*F384</f>
        <v>298.192031676</v>
      </c>
      <c r="K384" s="12">
        <f>105.7620032301*E384*F384</f>
        <v>105.7620032301</v>
      </c>
      <c r="L384" s="12">
        <f t="shared" si="53"/>
        <v>0</v>
      </c>
      <c r="M384" s="29">
        <f t="shared" si="57"/>
        <v>0.7101163074021</v>
      </c>
      <c r="N384" s="14">
        <f t="shared" si="54"/>
        <v>710.1163074021</v>
      </c>
    </row>
    <row r="385" spans="2:14" ht="40.5" customHeight="1" thickBot="1" thickTop="1">
      <c r="B385" s="7">
        <v>379</v>
      </c>
      <c r="C385" s="5" t="s">
        <v>536</v>
      </c>
      <c r="D385" s="5" t="s">
        <v>531</v>
      </c>
      <c r="E385" s="9">
        <v>1</v>
      </c>
      <c r="F385" s="9">
        <v>1</v>
      </c>
      <c r="G385" s="12">
        <f>342.8535*E385*F385</f>
        <v>342.8535</v>
      </c>
      <c r="H385" s="12">
        <f>10.14975072*E385*F385</f>
        <v>10.14975072</v>
      </c>
      <c r="I385" s="12">
        <f t="shared" si="56"/>
        <v>0</v>
      </c>
      <c r="J385" s="12">
        <f>343.539207*E385*F385</f>
        <v>343.539207</v>
      </c>
      <c r="K385" s="12">
        <f>121.894930101*E385*F385</f>
        <v>121.894930101</v>
      </c>
      <c r="L385" s="12">
        <f t="shared" si="53"/>
        <v>0</v>
      </c>
      <c r="M385" s="29">
        <f t="shared" si="57"/>
        <v>0.818437387821</v>
      </c>
      <c r="N385" s="14">
        <f t="shared" si="54"/>
        <v>818.4373878209999</v>
      </c>
    </row>
    <row r="386" spans="2:14" ht="40.5" customHeight="1" thickBot="1" thickTop="1">
      <c r="B386" s="7">
        <v>380</v>
      </c>
      <c r="C386" s="5" t="s">
        <v>537</v>
      </c>
      <c r="D386" s="5" t="s">
        <v>531</v>
      </c>
      <c r="E386" s="9">
        <v>1</v>
      </c>
      <c r="F386" s="9">
        <v>1</v>
      </c>
      <c r="G386" s="12">
        <f>297.596838*E386*F386</f>
        <v>297.596838</v>
      </c>
      <c r="H386" s="12">
        <f>8.565434496*E386*F386</f>
        <v>8.565434496</v>
      </c>
      <c r="I386" s="12">
        <f t="shared" si="56"/>
        <v>0</v>
      </c>
      <c r="J386" s="12">
        <f>298.192031676*E386*F386</f>
        <v>298.192031676</v>
      </c>
      <c r="K386" s="12">
        <f>105.7620032301*E386*F386</f>
        <v>105.7620032301</v>
      </c>
      <c r="L386" s="12">
        <f t="shared" si="53"/>
        <v>0</v>
      </c>
      <c r="M386" s="29">
        <f t="shared" si="57"/>
        <v>0.7101163074021</v>
      </c>
      <c r="N386" s="14">
        <f t="shared" si="54"/>
        <v>710.1163074021</v>
      </c>
    </row>
    <row r="387" spans="2:14" ht="40.5" customHeight="1" thickBot="1" thickTop="1">
      <c r="B387" s="7">
        <v>381</v>
      </c>
      <c r="C387" s="5" t="s">
        <v>538</v>
      </c>
      <c r="D387" s="5" t="s">
        <v>531</v>
      </c>
      <c r="E387" s="9">
        <v>1</v>
      </c>
      <c r="F387" s="9">
        <v>1</v>
      </c>
      <c r="G387" s="12">
        <f>342.8535*E387*F387</f>
        <v>342.8535</v>
      </c>
      <c r="H387" s="12">
        <f>10.14975072*E387*F387</f>
        <v>10.14975072</v>
      </c>
      <c r="I387" s="12">
        <f t="shared" si="56"/>
        <v>0</v>
      </c>
      <c r="J387" s="12">
        <f>343.539207*E387*F387</f>
        <v>343.539207</v>
      </c>
      <c r="K387" s="12">
        <f>121.894930101*E387*F387</f>
        <v>121.894930101</v>
      </c>
      <c r="L387" s="12">
        <f t="shared" si="53"/>
        <v>0</v>
      </c>
      <c r="M387" s="29">
        <f t="shared" si="57"/>
        <v>0.818437387821</v>
      </c>
      <c r="N387" s="14">
        <f t="shared" si="54"/>
        <v>818.4373878209999</v>
      </c>
    </row>
    <row r="388" spans="2:14" ht="40.5" customHeight="1" thickBot="1" thickTop="1">
      <c r="B388" s="7">
        <v>382</v>
      </c>
      <c r="C388" s="5" t="s">
        <v>539</v>
      </c>
      <c r="D388" s="5" t="s">
        <v>531</v>
      </c>
      <c r="E388" s="9">
        <v>1</v>
      </c>
      <c r="F388" s="9">
        <v>1</v>
      </c>
      <c r="G388" s="12">
        <f>388.110162*E388*F388</f>
        <v>388.110162</v>
      </c>
      <c r="H388" s="12">
        <f>11.26383552*E388*F388</f>
        <v>11.26383552</v>
      </c>
      <c r="I388" s="12">
        <f t="shared" si="56"/>
        <v>0</v>
      </c>
      <c r="J388" s="12">
        <f>388.886382324*E388*F388</f>
        <v>388.886382324</v>
      </c>
      <c r="K388" s="12">
        <f>137.9455664727*E388*F388</f>
        <v>137.9455664727</v>
      </c>
      <c r="L388" s="12">
        <f t="shared" si="53"/>
        <v>0</v>
      </c>
      <c r="M388" s="29">
        <f t="shared" si="57"/>
        <v>0.9262059463167</v>
      </c>
      <c r="N388" s="14">
        <f t="shared" si="54"/>
        <v>926.2059463167</v>
      </c>
    </row>
    <row r="389" spans="2:14" ht="40.5" customHeight="1" thickBot="1" thickTop="1">
      <c r="B389" s="7">
        <v>383</v>
      </c>
      <c r="C389" s="5" t="s">
        <v>540</v>
      </c>
      <c r="D389" s="5" t="s">
        <v>541</v>
      </c>
      <c r="E389" s="9">
        <v>1</v>
      </c>
      <c r="F389" s="9">
        <v>1</v>
      </c>
      <c r="G389" s="12">
        <f>9143.217138*E389*F389</f>
        <v>9143.217138</v>
      </c>
      <c r="H389" s="12">
        <f>21.679488*E389*F389</f>
        <v>21.679488</v>
      </c>
      <c r="I389" s="12">
        <f t="shared" si="56"/>
        <v>0</v>
      </c>
      <c r="J389" s="12">
        <f>9161.503572276*E389*F389</f>
        <v>9161.503572276</v>
      </c>
      <c r="K389" s="12">
        <f>3207.1200346983*E389*F389</f>
        <v>3207.1200346983</v>
      </c>
      <c r="L389" s="12">
        <f t="shared" si="53"/>
        <v>0</v>
      </c>
      <c r="M389" s="29">
        <f aca="true" t="shared" si="58" ref="M389:M394">N389/F389/E389/100000</f>
        <v>0.21533520232974301</v>
      </c>
      <c r="N389" s="14">
        <f t="shared" si="54"/>
        <v>21533.5202329743</v>
      </c>
    </row>
    <row r="390" spans="2:14" ht="40.5" customHeight="1" thickBot="1" thickTop="1">
      <c r="B390" s="7">
        <v>384</v>
      </c>
      <c r="C390" s="5" t="s">
        <v>542</v>
      </c>
      <c r="D390" s="5" t="s">
        <v>541</v>
      </c>
      <c r="E390" s="9">
        <v>1</v>
      </c>
      <c r="F390" s="9">
        <v>1</v>
      </c>
      <c r="G390" s="12">
        <f>16000.287138*E390*F390</f>
        <v>16000.287138</v>
      </c>
      <c r="H390" s="12">
        <f>43.358976*E390*F390</f>
        <v>43.358976</v>
      </c>
      <c r="I390" s="12">
        <f t="shared" si="56"/>
        <v>0</v>
      </c>
      <c r="J390" s="12">
        <f>16032.287712276*E390*F390</f>
        <v>16032.287712276</v>
      </c>
      <c r="K390" s="12">
        <f>5613.2884195983*E390*F390</f>
        <v>5613.2884195983</v>
      </c>
      <c r="L390" s="12">
        <f t="shared" si="53"/>
        <v>0</v>
      </c>
      <c r="M390" s="29">
        <f t="shared" si="58"/>
        <v>0.376892222458743</v>
      </c>
      <c r="N390" s="14">
        <f t="shared" si="54"/>
        <v>37689.2222458743</v>
      </c>
    </row>
    <row r="391" spans="2:14" ht="40.5" customHeight="1" thickBot="1" thickTop="1">
      <c r="B391" s="7">
        <v>385</v>
      </c>
      <c r="C391" s="5" t="s">
        <v>543</v>
      </c>
      <c r="D391" s="5" t="s">
        <v>541</v>
      </c>
      <c r="E391" s="9">
        <v>1</v>
      </c>
      <c r="F391" s="9">
        <v>1</v>
      </c>
      <c r="G391" s="12">
        <f>18285.062862*E391*F391</f>
        <v>18285.062862</v>
      </c>
      <c r="H391" s="12">
        <f>50.585472*E391*F391</f>
        <v>50.585472</v>
      </c>
      <c r="I391" s="12">
        <f t="shared" si="56"/>
        <v>0</v>
      </c>
      <c r="J391" s="12">
        <f>18321.632987724*E391*F391</f>
        <v>18321.632987724</v>
      </c>
      <c r="K391" s="12">
        <f>6415.0242313017*E391*F391</f>
        <v>6415.0242313017</v>
      </c>
      <c r="L391" s="12">
        <f t="shared" si="53"/>
        <v>0</v>
      </c>
      <c r="M391" s="29">
        <f t="shared" si="58"/>
        <v>0.43072305553025697</v>
      </c>
      <c r="N391" s="14">
        <f t="shared" si="54"/>
        <v>43072.3055530257</v>
      </c>
    </row>
    <row r="392" spans="2:14" ht="40.5" customHeight="1" thickBot="1" thickTop="1">
      <c r="B392" s="7">
        <v>386</v>
      </c>
      <c r="C392" s="5" t="s">
        <v>544</v>
      </c>
      <c r="D392" s="5" t="s">
        <v>541</v>
      </c>
      <c r="E392" s="9">
        <v>1</v>
      </c>
      <c r="F392" s="9">
        <v>2</v>
      </c>
      <c r="G392" s="12">
        <f>159998.757138*E392*F392</f>
        <v>319997.514276</v>
      </c>
      <c r="H392" s="12">
        <f>1032.264493056*E392*F392</f>
        <v>2064.528986112</v>
      </c>
      <c r="I392" s="12">
        <f t="shared" si="56"/>
        <v>0</v>
      </c>
      <c r="J392" s="12">
        <f>160318.75465228*E392*F392</f>
        <v>320637.50930456</v>
      </c>
      <c r="K392" s="12">
        <f>56236.210849583*E392*F392</f>
        <v>112472.421699166</v>
      </c>
      <c r="L392" s="12">
        <f t="shared" si="53"/>
        <v>0</v>
      </c>
      <c r="M392" s="29">
        <f t="shared" si="58"/>
        <v>3.77585987132919</v>
      </c>
      <c r="N392" s="14">
        <f t="shared" si="54"/>
        <v>755171.974265838</v>
      </c>
    </row>
    <row r="393" spans="2:14" ht="40.5" customHeight="1" thickBot="1" thickTop="1">
      <c r="B393" s="7">
        <v>387</v>
      </c>
      <c r="C393" s="5" t="s">
        <v>545</v>
      </c>
      <c r="D393" s="5" t="s">
        <v>546</v>
      </c>
      <c r="E393" s="9">
        <v>1</v>
      </c>
      <c r="F393" s="9">
        <v>80</v>
      </c>
      <c r="G393" s="12">
        <f>17599.355862*E393*F393</f>
        <v>1407948.46896</v>
      </c>
      <c r="H393" s="12">
        <f>112.85554176*E393*F393</f>
        <v>9028.4433408</v>
      </c>
      <c r="I393" s="12">
        <f t="shared" si="56"/>
        <v>0</v>
      </c>
      <c r="J393" s="12">
        <f>17634.554573724*E393*F393</f>
        <v>1410764.36589792</v>
      </c>
      <c r="K393" s="12">
        <f>6185.6840460597*E393*F393</f>
        <v>494854.72368477605</v>
      </c>
      <c r="L393" s="12">
        <f aca="true" t="shared" si="59" ref="L393:L424">0*E393*F393</f>
        <v>0</v>
      </c>
      <c r="M393" s="29">
        <f t="shared" si="58"/>
        <v>0.415324500235437</v>
      </c>
      <c r="N393" s="14">
        <f aca="true" t="shared" si="60" ref="N393:N424">SUM(G393:L393)</f>
        <v>3322596.001883496</v>
      </c>
    </row>
    <row r="394" spans="2:14" ht="40.5" customHeight="1" thickBot="1" thickTop="1">
      <c r="B394" s="7">
        <v>388</v>
      </c>
      <c r="C394" s="5" t="s">
        <v>547</v>
      </c>
      <c r="D394" s="5" t="s">
        <v>548</v>
      </c>
      <c r="E394" s="9">
        <v>1</v>
      </c>
      <c r="F394" s="9">
        <v>1</v>
      </c>
      <c r="G394" s="12">
        <f>13714.14*E394*F394</f>
        <v>13714.14</v>
      </c>
      <c r="H394" s="12">
        <f>36.13248*E394*F394</f>
        <v>36.13248</v>
      </c>
      <c r="I394" s="12">
        <f t="shared" si="56"/>
        <v>0</v>
      </c>
      <c r="J394" s="12">
        <f>13741.56828*E394*F394</f>
        <v>13741.56828</v>
      </c>
      <c r="K394" s="12">
        <f>4811.072133*E394*F394</f>
        <v>4811.072133</v>
      </c>
      <c r="L394" s="12">
        <f t="shared" si="59"/>
        <v>0</v>
      </c>
      <c r="M394" s="29">
        <f t="shared" si="58"/>
        <v>0.32302912893</v>
      </c>
      <c r="N394" s="14">
        <f t="shared" si="60"/>
        <v>32302.912893</v>
      </c>
    </row>
    <row r="395" spans="2:14" ht="40.5" customHeight="1" thickBot="1" thickTop="1">
      <c r="B395" s="7">
        <v>389</v>
      </c>
      <c r="C395" s="5" t="s">
        <v>549</v>
      </c>
      <c r="D395" s="5" t="s">
        <v>550</v>
      </c>
      <c r="E395" s="9">
        <v>1</v>
      </c>
      <c r="F395" s="9">
        <v>1</v>
      </c>
      <c r="G395" s="12">
        <f>159.449136*E395*F395</f>
        <v>159.449136</v>
      </c>
      <c r="H395" s="12">
        <f>94.321107072*E395*F395</f>
        <v>94.321107072</v>
      </c>
      <c r="I395" s="12">
        <f>45.37845*E395*F395</f>
        <v>45.37845</v>
      </c>
      <c r="J395" s="12">
        <f>159.768034272*E395*F395</f>
        <v>159.768034272</v>
      </c>
      <c r="K395" s="12">
        <f>80.3104272852*E395*F395</f>
        <v>80.3104272852</v>
      </c>
      <c r="L395" s="12">
        <f t="shared" si="59"/>
        <v>0</v>
      </c>
      <c r="M395" s="29">
        <f>N395/F395/E395/100</f>
        <v>5.392271546292001</v>
      </c>
      <c r="N395" s="14">
        <f t="shared" si="60"/>
        <v>539.2271546292001</v>
      </c>
    </row>
    <row r="396" spans="2:14" ht="40.5" customHeight="1" thickBot="1" thickTop="1">
      <c r="B396" s="7">
        <v>390</v>
      </c>
      <c r="C396" s="5" t="s">
        <v>551</v>
      </c>
      <c r="D396" s="5" t="s">
        <v>552</v>
      </c>
      <c r="E396" s="9">
        <v>1</v>
      </c>
      <c r="F396" s="9">
        <v>1</v>
      </c>
      <c r="G396" s="12">
        <f>1090.27413*E396*F396</f>
        <v>1090.27413</v>
      </c>
      <c r="H396" s="12">
        <f>7.05347136*E396*F396</f>
        <v>7.05347136</v>
      </c>
      <c r="I396" s="12">
        <f>0*E396*F396</f>
        <v>0</v>
      </c>
      <c r="J396" s="12">
        <f>1092.45467826*E396*F396</f>
        <v>1092.45467826</v>
      </c>
      <c r="K396" s="12">
        <f>383.2118989335*E396*F396</f>
        <v>383.2118989335</v>
      </c>
      <c r="L396" s="12">
        <f t="shared" si="59"/>
        <v>0</v>
      </c>
      <c r="M396" s="29">
        <f>N396/F396/E396/100</f>
        <v>25.729941785534997</v>
      </c>
      <c r="N396" s="14">
        <f t="shared" si="60"/>
        <v>2572.9941785534998</v>
      </c>
    </row>
    <row r="397" spans="2:14" ht="40.5" customHeight="1" thickBot="1" thickTop="1">
      <c r="B397" s="7">
        <v>391</v>
      </c>
      <c r="C397" s="5" t="s">
        <v>553</v>
      </c>
      <c r="D397" s="5" t="s">
        <v>554</v>
      </c>
      <c r="E397" s="9">
        <v>1</v>
      </c>
      <c r="F397" s="9">
        <v>1</v>
      </c>
      <c r="G397" s="12">
        <f>188785.24*E397*F397</f>
        <v>188785.24</v>
      </c>
      <c r="H397" s="12">
        <f aca="true" t="shared" si="61" ref="H397:H402">0*E397*F397</f>
        <v>0</v>
      </c>
      <c r="I397" s="12">
        <f>131858.8596*E397*F397</f>
        <v>131858.8596</v>
      </c>
      <c r="J397" s="12">
        <f>237153.414108*E397*F397</f>
        <v>237153.414108</v>
      </c>
      <c r="K397" s="12">
        <f>97614.5648989*E397*F397</f>
        <v>97614.5648989</v>
      </c>
      <c r="L397" s="12">
        <f t="shared" si="59"/>
        <v>0</v>
      </c>
      <c r="M397" s="29">
        <f>N397/F397/E397/100</f>
        <v>6554.120786068999</v>
      </c>
      <c r="N397" s="14">
        <f t="shared" si="60"/>
        <v>655412.0786069</v>
      </c>
    </row>
    <row r="398" spans="2:14" ht="40.5" customHeight="1" thickBot="1" thickTop="1">
      <c r="B398" s="7">
        <v>392</v>
      </c>
      <c r="C398" s="5" t="s">
        <v>555</v>
      </c>
      <c r="D398" s="5" t="s">
        <v>554</v>
      </c>
      <c r="E398" s="9">
        <v>1</v>
      </c>
      <c r="F398" s="9">
        <v>1</v>
      </c>
      <c r="G398" s="12">
        <f>12202.74*E398*F398</f>
        <v>12202.74</v>
      </c>
      <c r="H398" s="12">
        <f t="shared" si="61"/>
        <v>0</v>
      </c>
      <c r="I398" s="12">
        <f aca="true" t="shared" si="62" ref="I398:I429">0*E398*F398</f>
        <v>0</v>
      </c>
      <c r="J398" s="12">
        <f>12227.14548*E398*F398</f>
        <v>12227.14548</v>
      </c>
      <c r="K398" s="12">
        <f>4275.229959*E398*F398</f>
        <v>4275.229959</v>
      </c>
      <c r="L398" s="12">
        <f t="shared" si="59"/>
        <v>0</v>
      </c>
      <c r="M398" s="29">
        <f>N398/F398/E398/100</f>
        <v>287.05115438999997</v>
      </c>
      <c r="N398" s="14">
        <f t="shared" si="60"/>
        <v>28705.115438999997</v>
      </c>
    </row>
    <row r="399" spans="2:14" ht="40.5" customHeight="1" thickBot="1" thickTop="1">
      <c r="B399" s="7">
        <v>393</v>
      </c>
      <c r="C399" s="5" t="s">
        <v>556</v>
      </c>
      <c r="D399" s="5" t="s">
        <v>554</v>
      </c>
      <c r="E399" s="9">
        <v>1</v>
      </c>
      <c r="F399" s="9">
        <v>1</v>
      </c>
      <c r="G399" s="12">
        <f>114509.08*E399*F399</f>
        <v>114509.08</v>
      </c>
      <c r="H399" s="12">
        <f t="shared" si="61"/>
        <v>0</v>
      </c>
      <c r="I399" s="12">
        <f t="shared" si="62"/>
        <v>0</v>
      </c>
      <c r="J399" s="12">
        <f>114738.09816*E399*F399</f>
        <v>114738.09816</v>
      </c>
      <c r="K399" s="12">
        <f>40118.256178*E399*F399</f>
        <v>40118.256178</v>
      </c>
      <c r="L399" s="12">
        <f t="shared" si="59"/>
        <v>0</v>
      </c>
      <c r="M399" s="29">
        <f>N399/F399/E399/100</f>
        <v>2693.6543433800002</v>
      </c>
      <c r="N399" s="14">
        <f t="shared" si="60"/>
        <v>269365.434338</v>
      </c>
    </row>
    <row r="400" spans="2:14" ht="40.5" customHeight="1" thickBot="1" thickTop="1">
      <c r="B400" s="7">
        <v>394</v>
      </c>
      <c r="C400" s="5" t="s">
        <v>557</v>
      </c>
      <c r="D400" s="5" t="s">
        <v>558</v>
      </c>
      <c r="E400" s="9">
        <v>1</v>
      </c>
      <c r="F400" s="9">
        <v>1</v>
      </c>
      <c r="G400" s="12">
        <f>208901.7*E400*F400</f>
        <v>208901.7</v>
      </c>
      <c r="H400" s="12">
        <f t="shared" si="61"/>
        <v>0</v>
      </c>
      <c r="I400" s="12">
        <f t="shared" si="62"/>
        <v>0</v>
      </c>
      <c r="J400" s="12">
        <f>209319.5034*E400*F400</f>
        <v>209319.5034</v>
      </c>
      <c r="K400" s="12">
        <f>73188.710595*E400*F400</f>
        <v>73188.710595</v>
      </c>
      <c r="L400" s="12">
        <f t="shared" si="59"/>
        <v>0</v>
      </c>
      <c r="M400" s="29">
        <f>N400/F400/E400/1000</f>
        <v>491.409913995</v>
      </c>
      <c r="N400" s="14">
        <f t="shared" si="60"/>
        <v>491409.913995</v>
      </c>
    </row>
    <row r="401" spans="2:14" ht="40.5" customHeight="1" thickBot="1" thickTop="1">
      <c r="B401" s="7">
        <v>395</v>
      </c>
      <c r="C401" s="5" t="s">
        <v>559</v>
      </c>
      <c r="D401" s="5" t="s">
        <v>558</v>
      </c>
      <c r="E401" s="9">
        <v>1</v>
      </c>
      <c r="F401" s="9">
        <v>1</v>
      </c>
      <c r="G401" s="12">
        <f>77371*E401*F401</f>
        <v>77371</v>
      </c>
      <c r="H401" s="12">
        <f t="shared" si="61"/>
        <v>0</v>
      </c>
      <c r="I401" s="12">
        <f t="shared" si="62"/>
        <v>0</v>
      </c>
      <c r="J401" s="12">
        <f>77525.742*E401*F401</f>
        <v>77525.742</v>
      </c>
      <c r="K401" s="12">
        <f>27106.92985*E401*F401</f>
        <v>27106.92985</v>
      </c>
      <c r="L401" s="12">
        <f t="shared" si="59"/>
        <v>0</v>
      </c>
      <c r="M401" s="29">
        <f>N401/F401/E401/1000</f>
        <v>182.00367185</v>
      </c>
      <c r="N401" s="14">
        <f t="shared" si="60"/>
        <v>182003.67184999998</v>
      </c>
    </row>
    <row r="402" spans="2:14" ht="40.5" customHeight="1" thickBot="1" thickTop="1">
      <c r="B402" s="7">
        <v>396</v>
      </c>
      <c r="C402" s="5" t="s">
        <v>560</v>
      </c>
      <c r="D402" s="5" t="s">
        <v>561</v>
      </c>
      <c r="E402" s="9">
        <v>1</v>
      </c>
      <c r="F402" s="9">
        <v>1</v>
      </c>
      <c r="G402" s="12">
        <f>43327.76*E402*F402</f>
        <v>43327.76</v>
      </c>
      <c r="H402" s="12">
        <f t="shared" si="61"/>
        <v>0</v>
      </c>
      <c r="I402" s="12">
        <f t="shared" si="62"/>
        <v>0</v>
      </c>
      <c r="J402" s="12">
        <f>43414.41552*E402*F402</f>
        <v>43414.41552</v>
      </c>
      <c r="K402" s="12">
        <f>15179.880716*E402*F402</f>
        <v>15179.880716</v>
      </c>
      <c r="L402" s="12">
        <f t="shared" si="59"/>
        <v>0</v>
      </c>
      <c r="M402" s="29">
        <f>N402/F402/E402/1000</f>
        <v>101.922056236</v>
      </c>
      <c r="N402" s="14">
        <f t="shared" si="60"/>
        <v>101922.056236</v>
      </c>
    </row>
    <row r="403" spans="2:14" ht="40.5" customHeight="1" thickBot="1" thickTop="1">
      <c r="B403" s="7">
        <v>397</v>
      </c>
      <c r="C403" s="5" t="s">
        <v>562</v>
      </c>
      <c r="D403" s="5" t="s">
        <v>561</v>
      </c>
      <c r="E403" s="9">
        <v>1</v>
      </c>
      <c r="F403" s="9">
        <v>1</v>
      </c>
      <c r="G403" s="12">
        <f>297.596838*E403*F403</f>
        <v>297.596838</v>
      </c>
      <c r="H403" s="12">
        <f>8.565434496*E403*F403</f>
        <v>8.565434496</v>
      </c>
      <c r="I403" s="12">
        <f t="shared" si="62"/>
        <v>0</v>
      </c>
      <c r="J403" s="12">
        <f>298.192031676*E403*F403</f>
        <v>298.192031676</v>
      </c>
      <c r="K403" s="12">
        <f>105.7620032301*E403*F403</f>
        <v>105.7620032301</v>
      </c>
      <c r="L403" s="12">
        <f t="shared" si="59"/>
        <v>0</v>
      </c>
      <c r="M403" s="29">
        <f>N403/F403/E403/1000</f>
        <v>0.7101163074021</v>
      </c>
      <c r="N403" s="14">
        <f t="shared" si="60"/>
        <v>710.1163074021</v>
      </c>
    </row>
    <row r="404" spans="2:14" ht="40.5" customHeight="1" thickBot="1" thickTop="1">
      <c r="B404" s="7">
        <v>398</v>
      </c>
      <c r="C404" s="5" t="s">
        <v>563</v>
      </c>
      <c r="D404" s="5" t="s">
        <v>564</v>
      </c>
      <c r="E404" s="9">
        <v>1</v>
      </c>
      <c r="F404" s="9">
        <v>1</v>
      </c>
      <c r="G404" s="12">
        <f>83.315232*E404*F404</f>
        <v>83.315232</v>
      </c>
      <c r="H404" s="12">
        <f>28.1108291688*E404*F404</f>
        <v>28.1108291688</v>
      </c>
      <c r="I404" s="12">
        <f t="shared" si="62"/>
        <v>0</v>
      </c>
      <c r="J404" s="12">
        <f>83.481862464*E404*F404</f>
        <v>83.481862464</v>
      </c>
      <c r="K404" s="12">
        <f>34.10888663574*E404*F404</f>
        <v>34.10888663574</v>
      </c>
      <c r="L404" s="12">
        <f t="shared" si="59"/>
        <v>0</v>
      </c>
      <c r="M404" s="29">
        <f>N404/F404/E404</f>
        <v>229.01681026853998</v>
      </c>
      <c r="N404" s="14">
        <f t="shared" si="60"/>
        <v>229.01681026853998</v>
      </c>
    </row>
    <row r="405" spans="2:14" ht="40.5" customHeight="1" thickBot="1" thickTop="1">
      <c r="B405" s="7">
        <v>399</v>
      </c>
      <c r="C405" s="5" t="s">
        <v>565</v>
      </c>
      <c r="D405" s="5" t="s">
        <v>564</v>
      </c>
      <c r="E405" s="9">
        <v>1</v>
      </c>
      <c r="F405" s="9">
        <v>1</v>
      </c>
      <c r="G405" s="12">
        <f>52.90758*E405*F405</f>
        <v>52.90758</v>
      </c>
      <c r="H405" s="12">
        <f>50.4516763152*E405*F405</f>
        <v>50.4516763152</v>
      </c>
      <c r="I405" s="12">
        <f t="shared" si="62"/>
        <v>0</v>
      </c>
      <c r="J405" s="12">
        <f>53.01339516*E405*F405</f>
        <v>53.01339516</v>
      </c>
      <c r="K405" s="12">
        <f>27.36521400816*E405*F405</f>
        <v>27.36521400816</v>
      </c>
      <c r="L405" s="12">
        <f t="shared" si="59"/>
        <v>0</v>
      </c>
      <c r="M405" s="29">
        <f aca="true" t="shared" si="63" ref="M405:M468">N405/F405/E405</f>
        <v>183.73786548336</v>
      </c>
      <c r="N405" s="14">
        <f t="shared" si="60"/>
        <v>183.73786548336</v>
      </c>
    </row>
    <row r="406" spans="2:14" ht="40.5" customHeight="1" thickBot="1" thickTop="1">
      <c r="B406" s="7">
        <v>400</v>
      </c>
      <c r="C406" s="5" t="s">
        <v>566</v>
      </c>
      <c r="D406" s="5" t="s">
        <v>564</v>
      </c>
      <c r="E406" s="9">
        <v>1</v>
      </c>
      <c r="F406" s="9">
        <v>1</v>
      </c>
      <c r="G406" s="12">
        <f>180.020412*E406*F406</f>
        <v>180.020412</v>
      </c>
      <c r="H406" s="12">
        <f>58.789932984*E406*F406</f>
        <v>58.789932984</v>
      </c>
      <c r="I406" s="12">
        <f t="shared" si="62"/>
        <v>0</v>
      </c>
      <c r="J406" s="12">
        <f>180.380452824*E406*F406</f>
        <v>180.380452824</v>
      </c>
      <c r="K406" s="12">
        <f>73.3583896164*E406*F406</f>
        <v>73.3583896164</v>
      </c>
      <c r="L406" s="12">
        <f t="shared" si="59"/>
        <v>0</v>
      </c>
      <c r="M406" s="29">
        <f t="shared" si="63"/>
        <v>492.5491874244</v>
      </c>
      <c r="N406" s="14">
        <f t="shared" si="60"/>
        <v>492.5491874244</v>
      </c>
    </row>
    <row r="407" spans="2:14" ht="40.5" customHeight="1" thickBot="1" thickTop="1">
      <c r="B407" s="7">
        <v>401</v>
      </c>
      <c r="C407" s="5" t="s">
        <v>567</v>
      </c>
      <c r="D407" s="5" t="s">
        <v>568</v>
      </c>
      <c r="E407" s="9">
        <v>1</v>
      </c>
      <c r="F407" s="9">
        <v>1</v>
      </c>
      <c r="G407" s="12">
        <f>196.385904*E407*F407</f>
        <v>196.385904</v>
      </c>
      <c r="H407" s="12">
        <f>38.876610888*E407*F407</f>
        <v>38.876610888</v>
      </c>
      <c r="I407" s="12">
        <f t="shared" si="62"/>
        <v>0</v>
      </c>
      <c r="J407" s="12">
        <f>196.778675808*E407*F407</f>
        <v>196.778675808</v>
      </c>
      <c r="K407" s="12">
        <f>75.6072083718*E407*F407</f>
        <v>75.6072083718</v>
      </c>
      <c r="L407" s="12">
        <f t="shared" si="59"/>
        <v>0</v>
      </c>
      <c r="M407" s="29">
        <f t="shared" si="63"/>
        <v>507.6483990678</v>
      </c>
      <c r="N407" s="14">
        <f t="shared" si="60"/>
        <v>507.6483990678</v>
      </c>
    </row>
    <row r="408" spans="2:14" ht="40.5" customHeight="1" thickBot="1" thickTop="1">
      <c r="B408" s="7">
        <v>402</v>
      </c>
      <c r="C408" s="5" t="s">
        <v>569</v>
      </c>
      <c r="D408" s="5" t="s">
        <v>568</v>
      </c>
      <c r="E408" s="9">
        <v>1</v>
      </c>
      <c r="F408" s="9">
        <v>1</v>
      </c>
      <c r="G408" s="12">
        <f>196.385904*E408*F408</f>
        <v>196.385904</v>
      </c>
      <c r="H408" s="12">
        <f>38.876610888*E408*F408</f>
        <v>38.876610888</v>
      </c>
      <c r="I408" s="12">
        <f t="shared" si="62"/>
        <v>0</v>
      </c>
      <c r="J408" s="12">
        <f>196.778675808*E408*F408</f>
        <v>196.778675808</v>
      </c>
      <c r="K408" s="12">
        <f>75.6072083718*E408*F408</f>
        <v>75.6072083718</v>
      </c>
      <c r="L408" s="12">
        <f t="shared" si="59"/>
        <v>0</v>
      </c>
      <c r="M408" s="29">
        <f t="shared" si="63"/>
        <v>507.6483990678</v>
      </c>
      <c r="N408" s="14">
        <f t="shared" si="60"/>
        <v>507.6483990678</v>
      </c>
    </row>
    <row r="409" spans="2:14" ht="40.5" customHeight="1" thickBot="1" thickTop="1">
      <c r="B409" s="7">
        <v>403</v>
      </c>
      <c r="C409" s="5" t="s">
        <v>570</v>
      </c>
      <c r="D409" s="5" t="s">
        <v>571</v>
      </c>
      <c r="E409" s="9">
        <v>1</v>
      </c>
      <c r="F409" s="9">
        <v>1</v>
      </c>
      <c r="G409" s="12">
        <f>89.26632*E409*F409</f>
        <v>89.26632</v>
      </c>
      <c r="H409" s="12">
        <f>46.8448360776*E409*F409</f>
        <v>46.8448360776</v>
      </c>
      <c r="I409" s="12">
        <f t="shared" si="62"/>
        <v>0</v>
      </c>
      <c r="J409" s="12">
        <f>89.44485264*E409*F409</f>
        <v>89.44485264</v>
      </c>
      <c r="K409" s="12">
        <f>39.47230152558*E409*F409</f>
        <v>39.47230152558</v>
      </c>
      <c r="L409" s="12">
        <f t="shared" si="59"/>
        <v>0</v>
      </c>
      <c r="M409" s="29">
        <f t="shared" si="63"/>
        <v>265.02831024318</v>
      </c>
      <c r="N409" s="14">
        <f t="shared" si="60"/>
        <v>265.02831024318</v>
      </c>
    </row>
    <row r="410" spans="2:14" ht="40.5" customHeight="1" thickBot="1" thickTop="1">
      <c r="B410" s="7">
        <v>404</v>
      </c>
      <c r="C410" s="5" t="s">
        <v>572</v>
      </c>
      <c r="D410" s="5" t="s">
        <v>573</v>
      </c>
      <c r="E410" s="9">
        <v>1</v>
      </c>
      <c r="F410" s="9">
        <v>1</v>
      </c>
      <c r="G410" s="12">
        <f>220.190256*E410*F410</f>
        <v>220.190256</v>
      </c>
      <c r="H410" s="12">
        <f>38.876610888*E410*F410</f>
        <v>38.876610888</v>
      </c>
      <c r="I410" s="12">
        <f t="shared" si="62"/>
        <v>0</v>
      </c>
      <c r="J410" s="12">
        <f>220.630636512*E410*F410</f>
        <v>220.630636512</v>
      </c>
      <c r="K410" s="12">
        <f>83.947063095*E410*F410</f>
        <v>83.947063095</v>
      </c>
      <c r="L410" s="12">
        <f t="shared" si="59"/>
        <v>0</v>
      </c>
      <c r="M410" s="29">
        <f t="shared" si="63"/>
        <v>563.6445664949999</v>
      </c>
      <c r="N410" s="14">
        <f t="shared" si="60"/>
        <v>563.6445664949999</v>
      </c>
    </row>
    <row r="411" spans="2:14" ht="40.5" customHeight="1" thickBot="1" thickTop="1">
      <c r="B411" s="7">
        <v>405</v>
      </c>
      <c r="C411" s="5" t="s">
        <v>574</v>
      </c>
      <c r="D411" s="5" t="s">
        <v>575</v>
      </c>
      <c r="E411" s="9">
        <v>1</v>
      </c>
      <c r="F411" s="9">
        <v>1</v>
      </c>
      <c r="G411" s="12">
        <f>206.800308*E411*F411</f>
        <v>206.800308</v>
      </c>
      <c r="H411" s="12">
        <f>38.876610888*E411*F411</f>
        <v>38.876610888</v>
      </c>
      <c r="I411" s="12">
        <f t="shared" si="62"/>
        <v>0</v>
      </c>
      <c r="J411" s="12">
        <f>207.213908616*E411*F411</f>
        <v>207.213908616</v>
      </c>
      <c r="K411" s="12">
        <f>79.2558948132*E411*F411</f>
        <v>79.2558948132</v>
      </c>
      <c r="L411" s="12">
        <f t="shared" si="59"/>
        <v>0</v>
      </c>
      <c r="M411" s="29">
        <f t="shared" si="63"/>
        <v>532.1467223172</v>
      </c>
      <c r="N411" s="14">
        <f t="shared" si="60"/>
        <v>532.1467223172</v>
      </c>
    </row>
    <row r="412" spans="2:14" ht="40.5" customHeight="1" thickBot="1" thickTop="1">
      <c r="B412" s="7">
        <v>406</v>
      </c>
      <c r="C412" s="5" t="s">
        <v>576</v>
      </c>
      <c r="D412" s="5" t="s">
        <v>577</v>
      </c>
      <c r="E412" s="9">
        <v>1</v>
      </c>
      <c r="F412" s="9">
        <v>1</v>
      </c>
      <c r="G412" s="12">
        <f>95.217408*E412*F412</f>
        <v>95.217408</v>
      </c>
      <c r="H412" s="12">
        <f>18.9436511808*E412*F412</f>
        <v>18.9436511808</v>
      </c>
      <c r="I412" s="12">
        <f t="shared" si="62"/>
        <v>0</v>
      </c>
      <c r="J412" s="12">
        <f>95.407842816*E412*F412</f>
        <v>95.407842816</v>
      </c>
      <c r="K412" s="12">
        <f>36.67455784944*E412*F412</f>
        <v>36.67455784944</v>
      </c>
      <c r="L412" s="12">
        <f t="shared" si="59"/>
        <v>0</v>
      </c>
      <c r="M412" s="29">
        <f t="shared" si="63"/>
        <v>246.24345984624</v>
      </c>
      <c r="N412" s="14">
        <f t="shared" si="60"/>
        <v>246.24345984624</v>
      </c>
    </row>
    <row r="413" spans="2:14" ht="40.5" customHeight="1" thickBot="1" thickTop="1">
      <c r="B413" s="7">
        <v>407</v>
      </c>
      <c r="C413" s="5" t="s">
        <v>578</v>
      </c>
      <c r="D413" s="5" t="s">
        <v>579</v>
      </c>
      <c r="E413" s="9">
        <v>1</v>
      </c>
      <c r="F413" s="9">
        <v>1</v>
      </c>
      <c r="G413" s="12">
        <f>141.33834*E413*F413</f>
        <v>141.33834</v>
      </c>
      <c r="H413" s="12">
        <f>21.91157676*E413*F413</f>
        <v>21.91157676</v>
      </c>
      <c r="I413" s="12">
        <f t="shared" si="62"/>
        <v>0</v>
      </c>
      <c r="J413" s="12">
        <f>141.62101668*E413*F413</f>
        <v>141.62101668</v>
      </c>
      <c r="K413" s="12">
        <f>53.352413352*E413*F413</f>
        <v>53.352413352</v>
      </c>
      <c r="L413" s="12">
        <f t="shared" si="59"/>
        <v>0</v>
      </c>
      <c r="M413" s="29">
        <f t="shared" si="63"/>
        <v>358.223346792</v>
      </c>
      <c r="N413" s="14">
        <f t="shared" si="60"/>
        <v>358.223346792</v>
      </c>
    </row>
    <row r="414" spans="2:14" ht="40.5" customHeight="1" thickBot="1" thickTop="1">
      <c r="B414" s="7">
        <v>408</v>
      </c>
      <c r="C414" s="5" t="s">
        <v>580</v>
      </c>
      <c r="D414" s="5" t="s">
        <v>579</v>
      </c>
      <c r="E414" s="9">
        <v>1</v>
      </c>
      <c r="F414" s="9">
        <v>1</v>
      </c>
      <c r="G414" s="12">
        <f>290.11554*E414*F414</f>
        <v>290.11554</v>
      </c>
      <c r="H414" s="12">
        <f>47.359127952*E414*F414</f>
        <v>47.359127952</v>
      </c>
      <c r="I414" s="12">
        <f t="shared" si="62"/>
        <v>0</v>
      </c>
      <c r="J414" s="12">
        <f>290.69577108*E414*F414</f>
        <v>290.69577108</v>
      </c>
      <c r="K414" s="12">
        <f>109.9298268306*E414*F414</f>
        <v>109.9298268306</v>
      </c>
      <c r="L414" s="12">
        <f t="shared" si="59"/>
        <v>0</v>
      </c>
      <c r="M414" s="29">
        <f t="shared" si="63"/>
        <v>738.1002658626</v>
      </c>
      <c r="N414" s="14">
        <f t="shared" si="60"/>
        <v>738.1002658626</v>
      </c>
    </row>
    <row r="415" spans="2:14" ht="40.5" customHeight="1" thickBot="1" thickTop="1">
      <c r="B415" s="7">
        <v>409</v>
      </c>
      <c r="C415" s="5" t="s">
        <v>581</v>
      </c>
      <c r="D415" s="5" t="s">
        <v>582</v>
      </c>
      <c r="E415" s="9">
        <v>1</v>
      </c>
      <c r="F415" s="9">
        <v>1</v>
      </c>
      <c r="G415" s="12">
        <f>193.41036*E415*F415</f>
        <v>193.41036</v>
      </c>
      <c r="H415" s="12">
        <f>21.91157676*E415*F415</f>
        <v>21.91157676</v>
      </c>
      <c r="I415" s="12">
        <f t="shared" si="62"/>
        <v>0</v>
      </c>
      <c r="J415" s="12">
        <f>193.79718072*E415*F415</f>
        <v>193.79718072</v>
      </c>
      <c r="K415" s="12">
        <f>71.595845559*E415*F415</f>
        <v>71.595845559</v>
      </c>
      <c r="L415" s="12">
        <f t="shared" si="59"/>
        <v>0</v>
      </c>
      <c r="M415" s="29">
        <f t="shared" si="63"/>
        <v>480.714963039</v>
      </c>
      <c r="N415" s="14">
        <f t="shared" si="60"/>
        <v>480.714963039</v>
      </c>
    </row>
    <row r="416" spans="2:14" ht="40.5" customHeight="1" thickBot="1" thickTop="1">
      <c r="B416" s="7">
        <v>410</v>
      </c>
      <c r="C416" s="5" t="s">
        <v>583</v>
      </c>
      <c r="D416" s="5" t="s">
        <v>582</v>
      </c>
      <c r="E416" s="9">
        <v>1</v>
      </c>
      <c r="F416" s="9">
        <v>1</v>
      </c>
      <c r="G416" s="12">
        <f>32.730984*E416*F416</f>
        <v>32.730984</v>
      </c>
      <c r="H416" s="12">
        <f>18.3441747816*E416*F416</f>
        <v>18.3441747816</v>
      </c>
      <c r="I416" s="12">
        <f t="shared" si="62"/>
        <v>0</v>
      </c>
      <c r="J416" s="12">
        <f>32.796445968*E416*F416</f>
        <v>32.796445968</v>
      </c>
      <c r="K416" s="12">
        <f>14.67753083118*E416*F416</f>
        <v>14.67753083118</v>
      </c>
      <c r="L416" s="12">
        <f t="shared" si="59"/>
        <v>0</v>
      </c>
      <c r="M416" s="29">
        <f t="shared" si="63"/>
        <v>98.54913558077999</v>
      </c>
      <c r="N416" s="14">
        <f t="shared" si="60"/>
        <v>98.54913558077999</v>
      </c>
    </row>
    <row r="417" spans="2:14" ht="40.5" customHeight="1" thickBot="1" thickTop="1">
      <c r="B417" s="7">
        <v>411</v>
      </c>
      <c r="C417" s="5" t="s">
        <v>584</v>
      </c>
      <c r="D417" s="5" t="s">
        <v>564</v>
      </c>
      <c r="E417" s="9">
        <v>1</v>
      </c>
      <c r="F417" s="9">
        <v>1</v>
      </c>
      <c r="G417" s="12">
        <f>461.20932*E417*F417</f>
        <v>461.20932</v>
      </c>
      <c r="H417" s="12">
        <f>1001.6161583976*E417*F417</f>
        <v>1001.6161583976</v>
      </c>
      <c r="I417" s="12">
        <f t="shared" si="62"/>
        <v>0</v>
      </c>
      <c r="J417" s="12">
        <f>462.13173864*E417*F417</f>
        <v>462.13173864</v>
      </c>
      <c r="K417" s="12">
        <f>336.86751298158*E417*F417</f>
        <v>336.86751298158</v>
      </c>
      <c r="L417" s="12">
        <f t="shared" si="59"/>
        <v>0</v>
      </c>
      <c r="M417" s="29">
        <f t="shared" si="63"/>
        <v>2261.82473001918</v>
      </c>
      <c r="N417" s="14">
        <f t="shared" si="60"/>
        <v>2261.82473001918</v>
      </c>
    </row>
    <row r="418" spans="2:14" ht="40.5" customHeight="1" thickBot="1" thickTop="1">
      <c r="B418" s="7">
        <v>412</v>
      </c>
      <c r="C418" s="5" t="s">
        <v>585</v>
      </c>
      <c r="D418" s="5" t="s">
        <v>564</v>
      </c>
      <c r="E418" s="9">
        <v>1</v>
      </c>
      <c r="F418" s="9">
        <v>1</v>
      </c>
      <c r="G418" s="12">
        <f>461.20932*E418*F418</f>
        <v>461.20932</v>
      </c>
      <c r="H418" s="12">
        <f>91.31103878112*E418*F418</f>
        <v>91.31103878112</v>
      </c>
      <c r="I418" s="12">
        <f t="shared" si="62"/>
        <v>0</v>
      </c>
      <c r="J418" s="12">
        <f>462.13173864*E418*F418</f>
        <v>462.13173864</v>
      </c>
      <c r="K418" s="12">
        <f>177.5641170487*E418*F418</f>
        <v>177.5641170487</v>
      </c>
      <c r="L418" s="12">
        <f t="shared" si="59"/>
        <v>0</v>
      </c>
      <c r="M418" s="29">
        <f t="shared" si="63"/>
        <v>1192.21621446982</v>
      </c>
      <c r="N418" s="14">
        <f t="shared" si="60"/>
        <v>1192.21621446982</v>
      </c>
    </row>
    <row r="419" spans="2:14" ht="40.5" customHeight="1" thickBot="1" thickTop="1">
      <c r="B419" s="7">
        <v>413</v>
      </c>
      <c r="C419" s="5" t="s">
        <v>586</v>
      </c>
      <c r="D419" s="5" t="s">
        <v>568</v>
      </c>
      <c r="E419" s="9">
        <v>1</v>
      </c>
      <c r="F419" s="9">
        <v>1</v>
      </c>
      <c r="G419" s="12">
        <f>669.4974*E419*F419</f>
        <v>669.4974</v>
      </c>
      <c r="H419" s="12">
        <f>539.581309884*E419*F419</f>
        <v>539.581309884</v>
      </c>
      <c r="I419" s="12">
        <f t="shared" si="62"/>
        <v>0</v>
      </c>
      <c r="J419" s="12">
        <f>670.8363948*E419*F419</f>
        <v>670.8363948</v>
      </c>
      <c r="K419" s="12">
        <f>328.9851433197*E419*F419</f>
        <v>328.9851433197</v>
      </c>
      <c r="L419" s="12">
        <f t="shared" si="59"/>
        <v>0</v>
      </c>
      <c r="M419" s="29">
        <f t="shared" si="63"/>
        <v>2208.9002480037</v>
      </c>
      <c r="N419" s="14">
        <f t="shared" si="60"/>
        <v>2208.9002480037</v>
      </c>
    </row>
    <row r="420" spans="2:14" ht="40.5" customHeight="1" thickBot="1" thickTop="1">
      <c r="B420" s="7">
        <v>414</v>
      </c>
      <c r="C420" s="5" t="s">
        <v>587</v>
      </c>
      <c r="D420" s="5" t="s">
        <v>568</v>
      </c>
      <c r="E420" s="9">
        <v>1</v>
      </c>
      <c r="F420" s="9">
        <v>1</v>
      </c>
      <c r="G420" s="12">
        <f>419.551704*E420*F420</f>
        <v>419.551704</v>
      </c>
      <c r="H420" s="12">
        <f>228.696963588*E420*F420</f>
        <v>228.696963588</v>
      </c>
      <c r="I420" s="12">
        <f t="shared" si="62"/>
        <v>0</v>
      </c>
      <c r="J420" s="12">
        <f>420.390807408*E420*F420</f>
        <v>420.390807408</v>
      </c>
      <c r="K420" s="12">
        <f>187.0119081243*E420*F420</f>
        <v>187.0119081243</v>
      </c>
      <c r="L420" s="12">
        <f t="shared" si="59"/>
        <v>0</v>
      </c>
      <c r="M420" s="29">
        <f t="shared" si="63"/>
        <v>1255.6513831203</v>
      </c>
      <c r="N420" s="14">
        <f t="shared" si="60"/>
        <v>1255.6513831203</v>
      </c>
    </row>
    <row r="421" spans="2:14" ht="40.5" customHeight="1" thickBot="1" thickTop="1">
      <c r="B421" s="7">
        <v>415</v>
      </c>
      <c r="C421" s="5" t="s">
        <v>588</v>
      </c>
      <c r="D421" s="5" t="s">
        <v>571</v>
      </c>
      <c r="E421" s="9">
        <v>1</v>
      </c>
      <c r="F421" s="9">
        <v>1</v>
      </c>
      <c r="G421" s="12">
        <f>312.43212*E421*F421</f>
        <v>312.43212</v>
      </c>
      <c r="H421" s="12">
        <f>1387.591948872*E421*F421</f>
        <v>1387.591948872</v>
      </c>
      <c r="I421" s="12">
        <f t="shared" si="62"/>
        <v>0</v>
      </c>
      <c r="J421" s="12">
        <f>313.05698424*E421*F421</f>
        <v>313.05698424</v>
      </c>
      <c r="K421" s="12">
        <f>352.2891842946*E421*F421</f>
        <v>352.2891842946</v>
      </c>
      <c r="L421" s="12">
        <f t="shared" si="59"/>
        <v>0</v>
      </c>
      <c r="M421" s="29">
        <f t="shared" si="63"/>
        <v>2365.3702374066</v>
      </c>
      <c r="N421" s="14">
        <f t="shared" si="60"/>
        <v>2365.3702374066</v>
      </c>
    </row>
    <row r="422" spans="2:14" ht="40.5" customHeight="1" thickBot="1" thickTop="1">
      <c r="B422" s="7">
        <v>416</v>
      </c>
      <c r="C422" s="5" t="s">
        <v>589</v>
      </c>
      <c r="D422" s="5" t="s">
        <v>573</v>
      </c>
      <c r="E422" s="9">
        <v>1</v>
      </c>
      <c r="F422" s="9">
        <v>1</v>
      </c>
      <c r="G422" s="12">
        <f>4409.341596*E422*F422</f>
        <v>4409.341596</v>
      </c>
      <c r="H422" s="12">
        <f>508.11643944*E422*F422</f>
        <v>508.11643944</v>
      </c>
      <c r="I422" s="12">
        <f t="shared" si="62"/>
        <v>0</v>
      </c>
      <c r="J422" s="12">
        <f>4418.160279192*E422*F422</f>
        <v>4418.160279192</v>
      </c>
      <c r="K422" s="12">
        <f>1633.7332050606*E422*F422</f>
        <v>1633.7332050606</v>
      </c>
      <c r="L422" s="12">
        <f t="shared" si="59"/>
        <v>0</v>
      </c>
      <c r="M422" s="29">
        <f t="shared" si="63"/>
        <v>10969.3515196926</v>
      </c>
      <c r="N422" s="14">
        <f t="shared" si="60"/>
        <v>10969.3515196926</v>
      </c>
    </row>
    <row r="423" spans="2:14" ht="40.5" customHeight="1" thickBot="1" thickTop="1">
      <c r="B423" s="7">
        <v>417</v>
      </c>
      <c r="C423" s="5" t="s">
        <v>590</v>
      </c>
      <c r="D423" s="5" t="s">
        <v>575</v>
      </c>
      <c r="E423" s="9">
        <v>1</v>
      </c>
      <c r="F423" s="9">
        <v>1</v>
      </c>
      <c r="G423" s="12">
        <f>4126.762068*E423*F423</f>
        <v>4126.762068</v>
      </c>
      <c r="H423" s="12">
        <f>364.76951544*E423*F423</f>
        <v>364.76951544</v>
      </c>
      <c r="I423" s="12">
        <f t="shared" si="62"/>
        <v>0</v>
      </c>
      <c r="J423" s="12">
        <f>4135.015592136*E423*F423</f>
        <v>4135.015592136</v>
      </c>
      <c r="K423" s="12">
        <f>1509.6457557258*E423*F423</f>
        <v>1509.6457557258</v>
      </c>
      <c r="L423" s="12">
        <f t="shared" si="59"/>
        <v>0</v>
      </c>
      <c r="M423" s="29">
        <f t="shared" si="63"/>
        <v>10136.1929313018</v>
      </c>
      <c r="N423" s="14">
        <f t="shared" si="60"/>
        <v>10136.1929313018</v>
      </c>
    </row>
    <row r="424" spans="2:14" ht="40.5" customHeight="1" thickBot="1" thickTop="1">
      <c r="B424" s="7">
        <v>418</v>
      </c>
      <c r="C424" s="5" t="s">
        <v>591</v>
      </c>
      <c r="D424" s="5" t="s">
        <v>577</v>
      </c>
      <c r="E424" s="9">
        <v>1</v>
      </c>
      <c r="F424" s="9">
        <v>1</v>
      </c>
      <c r="G424" s="12">
        <f>374.326128*E424*F424</f>
        <v>374.326128</v>
      </c>
      <c r="H424" s="12">
        <f>29.643251832*E424*F424</f>
        <v>29.643251832</v>
      </c>
      <c r="I424" s="12">
        <f t="shared" si="62"/>
        <v>0</v>
      </c>
      <c r="J424" s="12">
        <f>375.074780256*E424*F424</f>
        <v>375.074780256</v>
      </c>
      <c r="K424" s="12">
        <f>136.3327280154*E424*F424</f>
        <v>136.3327280154</v>
      </c>
      <c r="L424" s="12">
        <f t="shared" si="59"/>
        <v>0</v>
      </c>
      <c r="M424" s="29">
        <f t="shared" si="63"/>
        <v>915.3768881033999</v>
      </c>
      <c r="N424" s="14">
        <f t="shared" si="60"/>
        <v>915.3768881033999</v>
      </c>
    </row>
    <row r="425" spans="2:14" ht="40.5" customHeight="1" thickBot="1" thickTop="1">
      <c r="B425" s="7">
        <v>419</v>
      </c>
      <c r="C425" s="5" t="s">
        <v>592</v>
      </c>
      <c r="D425" s="5" t="s">
        <v>579</v>
      </c>
      <c r="E425" s="9">
        <v>1</v>
      </c>
      <c r="F425" s="9">
        <v>1</v>
      </c>
      <c r="G425" s="12">
        <f>2822.125416*E425*F425</f>
        <v>2822.125416</v>
      </c>
      <c r="H425" s="12">
        <f>258.28236612*E425*F425</f>
        <v>258.28236612</v>
      </c>
      <c r="I425" s="12">
        <f t="shared" si="62"/>
        <v>0</v>
      </c>
      <c r="J425" s="12">
        <f>2827.769666832*E425*F425</f>
        <v>2827.769666832</v>
      </c>
      <c r="K425" s="12">
        <f>1033.9310535666*E425*F425</f>
        <v>1033.9310535666</v>
      </c>
      <c r="L425" s="12">
        <f aca="true" t="shared" si="64" ref="L425:L456">0*E425*F425</f>
        <v>0</v>
      </c>
      <c r="M425" s="29">
        <f t="shared" si="63"/>
        <v>6942.108502518599</v>
      </c>
      <c r="N425" s="14">
        <f aca="true" t="shared" si="65" ref="N425:N456">SUM(G425:L425)</f>
        <v>6942.108502518599</v>
      </c>
    </row>
    <row r="426" spans="2:14" ht="40.5" customHeight="1" thickBot="1" thickTop="1">
      <c r="B426" s="7">
        <v>420</v>
      </c>
      <c r="C426" s="5" t="s">
        <v>593</v>
      </c>
      <c r="D426" s="5" t="s">
        <v>579</v>
      </c>
      <c r="E426" s="9">
        <v>1</v>
      </c>
      <c r="F426" s="9">
        <v>1</v>
      </c>
      <c r="G426" s="12">
        <f>5818.569372*E426*F426</f>
        <v>5818.569372</v>
      </c>
      <c r="H426" s="12">
        <f>528.85161144*E426*F426</f>
        <v>528.85161144</v>
      </c>
      <c r="I426" s="12">
        <f t="shared" si="62"/>
        <v>0</v>
      </c>
      <c r="J426" s="12">
        <f>5830.206510744*E426*F426</f>
        <v>5830.206510744</v>
      </c>
      <c r="K426" s="12">
        <f>2131.0848114822*E426*F426</f>
        <v>2131.0848114822</v>
      </c>
      <c r="L426" s="12">
        <f t="shared" si="64"/>
        <v>0</v>
      </c>
      <c r="M426" s="29">
        <f t="shared" si="63"/>
        <v>14308.7123056662</v>
      </c>
      <c r="N426" s="14">
        <f t="shared" si="65"/>
        <v>14308.7123056662</v>
      </c>
    </row>
    <row r="427" spans="2:14" ht="40.5" customHeight="1" thickBot="1" thickTop="1">
      <c r="B427" s="7">
        <v>421</v>
      </c>
      <c r="C427" s="5" t="s">
        <v>594</v>
      </c>
      <c r="D427" s="5" t="s">
        <v>582</v>
      </c>
      <c r="E427" s="9">
        <v>1</v>
      </c>
      <c r="F427" s="9">
        <v>1</v>
      </c>
      <c r="G427" s="12">
        <f>164.330232*E427*F427</f>
        <v>164.330232</v>
      </c>
      <c r="H427" s="12">
        <f>2701.7692691832*E427*F427</f>
        <v>2701.7692691832</v>
      </c>
      <c r="I427" s="12">
        <f t="shared" si="62"/>
        <v>0</v>
      </c>
      <c r="J427" s="12">
        <f>164.658892464*E427*F427</f>
        <v>164.658892464</v>
      </c>
      <c r="K427" s="12">
        <f>530.38271888826*E427*F427</f>
        <v>530.38271888826</v>
      </c>
      <c r="L427" s="12">
        <f t="shared" si="64"/>
        <v>0</v>
      </c>
      <c r="M427" s="29">
        <f t="shared" si="63"/>
        <v>3561.14111253546</v>
      </c>
      <c r="N427" s="14">
        <f t="shared" si="65"/>
        <v>3561.14111253546</v>
      </c>
    </row>
    <row r="428" spans="2:14" ht="40.5" customHeight="1" thickBot="1" thickTop="1">
      <c r="B428" s="7">
        <v>422</v>
      </c>
      <c r="C428" s="5" t="s">
        <v>595</v>
      </c>
      <c r="D428" s="5" t="s">
        <v>596</v>
      </c>
      <c r="E428" s="9">
        <v>1</v>
      </c>
      <c r="F428" s="9">
        <v>1</v>
      </c>
      <c r="G428" s="12">
        <f>21190.464768*E428*F428</f>
        <v>21190.464768</v>
      </c>
      <c r="H428" s="12">
        <f>7012.2609131832*E428*F428</f>
        <v>7012.2609131832</v>
      </c>
      <c r="I428" s="12">
        <f t="shared" si="62"/>
        <v>0</v>
      </c>
      <c r="J428" s="12">
        <f>21232.845697536*E428*F428</f>
        <v>21232.845697536</v>
      </c>
      <c r="K428" s="12">
        <f>8651.2249912759*E428*F428</f>
        <v>8651.2249912759</v>
      </c>
      <c r="L428" s="12">
        <f t="shared" si="64"/>
        <v>0</v>
      </c>
      <c r="M428" s="29">
        <f t="shared" si="63"/>
        <v>58086.7963699951</v>
      </c>
      <c r="N428" s="14">
        <f t="shared" si="65"/>
        <v>58086.7963699951</v>
      </c>
    </row>
    <row r="429" spans="2:14" ht="40.5" customHeight="1" thickBot="1" thickTop="1">
      <c r="B429" s="7">
        <v>423</v>
      </c>
      <c r="C429" s="5" t="s">
        <v>597</v>
      </c>
      <c r="D429" s="5" t="s">
        <v>571</v>
      </c>
      <c r="E429" s="9">
        <v>1</v>
      </c>
      <c r="F429" s="9">
        <v>1</v>
      </c>
      <c r="G429" s="12">
        <f>14.87772*E429*F429</f>
        <v>14.87772</v>
      </c>
      <c r="H429" s="12">
        <f>1535.5804608*E429*F429</f>
        <v>1535.5804608</v>
      </c>
      <c r="I429" s="12">
        <f t="shared" si="62"/>
        <v>0</v>
      </c>
      <c r="J429" s="12">
        <f>14.90747544*E429*F429</f>
        <v>14.90747544</v>
      </c>
      <c r="K429" s="12">
        <f>273.938989842*E429*F429</f>
        <v>273.938989842</v>
      </c>
      <c r="L429" s="12">
        <f t="shared" si="64"/>
        <v>0</v>
      </c>
      <c r="M429" s="29">
        <f t="shared" si="63"/>
        <v>1839.304646082</v>
      </c>
      <c r="N429" s="14">
        <f t="shared" si="65"/>
        <v>1839.304646082</v>
      </c>
    </row>
    <row r="430" spans="2:14" ht="40.5" customHeight="1" thickBot="1" thickTop="1">
      <c r="B430" s="7">
        <v>424</v>
      </c>
      <c r="C430" s="5" t="s">
        <v>598</v>
      </c>
      <c r="D430" s="5" t="s">
        <v>599</v>
      </c>
      <c r="E430" s="9">
        <v>1</v>
      </c>
      <c r="F430" s="9">
        <v>1</v>
      </c>
      <c r="G430" s="12">
        <f>3199.508862*E430*F430</f>
        <v>3199.508862</v>
      </c>
      <c r="H430" s="12">
        <f>114.9113232*E430*F430</f>
        <v>114.9113232</v>
      </c>
      <c r="I430" s="12">
        <f aca="true" t="shared" si="66" ref="I430:I452">0*E430*F430</f>
        <v>0</v>
      </c>
      <c r="J430" s="12">
        <f>3205.907879724*E430*F430</f>
        <v>3205.907879724</v>
      </c>
      <c r="K430" s="12">
        <f>1141.0574113617*E430*F430</f>
        <v>1141.0574113617</v>
      </c>
      <c r="L430" s="12">
        <f t="shared" si="64"/>
        <v>0</v>
      </c>
      <c r="M430" s="29">
        <f t="shared" si="63"/>
        <v>7661.385476285701</v>
      </c>
      <c r="N430" s="14">
        <f t="shared" si="65"/>
        <v>7661.385476285701</v>
      </c>
    </row>
    <row r="431" spans="2:14" ht="40.5" customHeight="1" thickBot="1" thickTop="1">
      <c r="B431" s="7">
        <v>425</v>
      </c>
      <c r="C431" s="5" t="s">
        <v>600</v>
      </c>
      <c r="D431" s="5" t="s">
        <v>599</v>
      </c>
      <c r="E431" s="9">
        <v>1</v>
      </c>
      <c r="F431" s="9">
        <v>1</v>
      </c>
      <c r="G431" s="12">
        <f>3657.561138*E431*F431</f>
        <v>3657.561138</v>
      </c>
      <c r="H431" s="12">
        <f>114.9113232*E431*F431</f>
        <v>114.9113232</v>
      </c>
      <c r="I431" s="12">
        <f t="shared" si="66"/>
        <v>0</v>
      </c>
      <c r="J431" s="12">
        <f>3664.876260276*E431*F431</f>
        <v>3664.876260276</v>
      </c>
      <c r="K431" s="12">
        <f>1301.5360262583*E431*F431</f>
        <v>1301.5360262583</v>
      </c>
      <c r="L431" s="12">
        <f t="shared" si="64"/>
        <v>0</v>
      </c>
      <c r="M431" s="29">
        <f t="shared" si="63"/>
        <v>8738.8847477343</v>
      </c>
      <c r="N431" s="14">
        <f t="shared" si="65"/>
        <v>8738.8847477343</v>
      </c>
    </row>
    <row r="432" spans="2:14" ht="40.5" customHeight="1" thickBot="1" thickTop="1">
      <c r="B432" s="7">
        <v>426</v>
      </c>
      <c r="C432" s="5" t="s">
        <v>601</v>
      </c>
      <c r="D432" s="5" t="s">
        <v>599</v>
      </c>
      <c r="E432" s="9">
        <v>1</v>
      </c>
      <c r="F432" s="9">
        <v>1</v>
      </c>
      <c r="G432" s="12">
        <f>4570.922862*E432*F432</f>
        <v>4570.922862</v>
      </c>
      <c r="H432" s="12">
        <f>118.4141664*E432*F432</f>
        <v>118.4141664</v>
      </c>
      <c r="I432" s="12">
        <f t="shared" si="66"/>
        <v>0</v>
      </c>
      <c r="J432" s="12">
        <f>4580.064707724*E432*F432</f>
        <v>4580.064707724</v>
      </c>
      <c r="K432" s="12">
        <f>1622.1453038217*E432*F432</f>
        <v>1622.1453038217</v>
      </c>
      <c r="L432" s="12">
        <f t="shared" si="64"/>
        <v>0</v>
      </c>
      <c r="M432" s="29">
        <f t="shared" si="63"/>
        <v>10891.5470399457</v>
      </c>
      <c r="N432" s="14">
        <f t="shared" si="65"/>
        <v>10891.5470399457</v>
      </c>
    </row>
    <row r="433" spans="2:14" ht="40.5" customHeight="1" thickBot="1" thickTop="1">
      <c r="B433" s="7">
        <v>427</v>
      </c>
      <c r="C433" s="5" t="s">
        <v>602</v>
      </c>
      <c r="D433" s="5" t="s">
        <v>599</v>
      </c>
      <c r="E433" s="9">
        <v>1</v>
      </c>
      <c r="F433" s="9">
        <v>1</v>
      </c>
      <c r="G433" s="12">
        <f>97141.367862*E433*F433</f>
        <v>97141.367862</v>
      </c>
      <c r="H433" s="12">
        <f>140.113728*E433*F433</f>
        <v>140.113728</v>
      </c>
      <c r="I433" s="12">
        <f t="shared" si="66"/>
        <v>0</v>
      </c>
      <c r="J433" s="12">
        <f>97335.650597724*E433*F433</f>
        <v>97335.650597724</v>
      </c>
      <c r="K433" s="12">
        <f>34057.998132852*E433*F433</f>
        <v>34057.998132852</v>
      </c>
      <c r="L433" s="12">
        <f t="shared" si="64"/>
        <v>0</v>
      </c>
      <c r="M433" s="29">
        <f t="shared" si="63"/>
        <v>228675.130320576</v>
      </c>
      <c r="N433" s="14">
        <f t="shared" si="65"/>
        <v>228675.130320576</v>
      </c>
    </row>
    <row r="434" spans="2:14" ht="40.5" customHeight="1" thickBot="1" thickTop="1">
      <c r="B434" s="7">
        <v>428</v>
      </c>
      <c r="C434" s="5" t="s">
        <v>603</v>
      </c>
      <c r="D434" s="5" t="s">
        <v>599</v>
      </c>
      <c r="E434" s="9">
        <v>1</v>
      </c>
      <c r="F434" s="9">
        <v>1</v>
      </c>
      <c r="G434" s="12">
        <f>102399.369138*E434*F434</f>
        <v>102399.369138</v>
      </c>
      <c r="H434" s="12">
        <f>140.113728*E434*F434</f>
        <v>140.113728</v>
      </c>
      <c r="I434" s="12">
        <f t="shared" si="66"/>
        <v>0</v>
      </c>
      <c r="J434" s="12">
        <f>102604.16787628*E434*F434</f>
        <v>102604.16787628</v>
      </c>
      <c r="K434" s="12">
        <f>35900.138879898*E434*F434</f>
        <v>35900.138879898</v>
      </c>
      <c r="L434" s="12">
        <f t="shared" si="64"/>
        <v>0</v>
      </c>
      <c r="M434" s="29">
        <f t="shared" si="63"/>
        <v>241043.789622178</v>
      </c>
      <c r="N434" s="14">
        <f t="shared" si="65"/>
        <v>241043.789622178</v>
      </c>
    </row>
    <row r="435" spans="2:14" ht="40.5" customHeight="1" thickBot="1" thickTop="1">
      <c r="B435" s="7">
        <v>429</v>
      </c>
      <c r="C435" s="5" t="s">
        <v>604</v>
      </c>
      <c r="D435" s="5" t="s">
        <v>599</v>
      </c>
      <c r="E435" s="9">
        <v>1</v>
      </c>
      <c r="F435" s="9">
        <v>1</v>
      </c>
      <c r="G435" s="12">
        <f>117484.923138*E435*F435</f>
        <v>117484.923138</v>
      </c>
      <c r="H435" s="12">
        <f>140.113728*E435*F435</f>
        <v>140.113728</v>
      </c>
      <c r="I435" s="12">
        <f t="shared" si="66"/>
        <v>0</v>
      </c>
      <c r="J435" s="12">
        <f>117719.89298428*E435*F435</f>
        <v>117719.89298428</v>
      </c>
      <c r="K435" s="12">
        <f>41185.362723798*E435*F435</f>
        <v>41185.362723798</v>
      </c>
      <c r="L435" s="12">
        <f t="shared" si="64"/>
        <v>0</v>
      </c>
      <c r="M435" s="29">
        <f t="shared" si="63"/>
        <v>276530.292574078</v>
      </c>
      <c r="N435" s="14">
        <f t="shared" si="65"/>
        <v>276530.292574078</v>
      </c>
    </row>
    <row r="436" spans="2:14" ht="40.5" customHeight="1" thickBot="1" thickTop="1">
      <c r="B436" s="7">
        <v>430</v>
      </c>
      <c r="C436" s="5" t="s">
        <v>605</v>
      </c>
      <c r="D436" s="5" t="s">
        <v>606</v>
      </c>
      <c r="E436" s="9">
        <v>1</v>
      </c>
      <c r="F436" s="9">
        <v>1</v>
      </c>
      <c r="G436" s="12">
        <f>114.2387862*E436*F436</f>
        <v>114.2387862</v>
      </c>
      <c r="H436" s="12">
        <f>0*E436*F436</f>
        <v>0</v>
      </c>
      <c r="I436" s="12">
        <f t="shared" si="66"/>
        <v>0</v>
      </c>
      <c r="J436" s="12">
        <f>114.4672637724*E436*F436</f>
        <v>114.4672637724</v>
      </c>
      <c r="K436" s="12">
        <f>40.02355874517*E436*F436</f>
        <v>40.02355874517</v>
      </c>
      <c r="L436" s="12">
        <f t="shared" si="64"/>
        <v>0</v>
      </c>
      <c r="M436" s="29">
        <f t="shared" si="63"/>
        <v>268.72960871757004</v>
      </c>
      <c r="N436" s="14">
        <f t="shared" si="65"/>
        <v>268.72960871757004</v>
      </c>
    </row>
    <row r="437" spans="2:14" ht="40.5" customHeight="1" thickBot="1" thickTop="1">
      <c r="B437" s="7">
        <v>431</v>
      </c>
      <c r="C437" s="5" t="s">
        <v>607</v>
      </c>
      <c r="D437" s="5" t="s">
        <v>42</v>
      </c>
      <c r="E437" s="9">
        <v>1</v>
      </c>
      <c r="F437" s="9">
        <v>1</v>
      </c>
      <c r="G437" s="12">
        <f>29.6225424*E437*F437</f>
        <v>29.6225424</v>
      </c>
      <c r="H437" s="12">
        <f>611.3756988*E437*F437</f>
        <v>611.3756988</v>
      </c>
      <c r="I437" s="12">
        <f t="shared" si="66"/>
        <v>0</v>
      </c>
      <c r="J437" s="12">
        <f>29.6817874848*E437*F437</f>
        <v>29.6817874848</v>
      </c>
      <c r="K437" s="12">
        <f>117.36900501984*E437*F437</f>
        <v>117.36900501984</v>
      </c>
      <c r="L437" s="12">
        <f t="shared" si="64"/>
        <v>0</v>
      </c>
      <c r="M437" s="29">
        <f t="shared" si="63"/>
        <v>788.04903370464</v>
      </c>
      <c r="N437" s="14">
        <f t="shared" si="65"/>
        <v>788.04903370464</v>
      </c>
    </row>
    <row r="438" spans="2:14" ht="40.5" customHeight="1" thickBot="1" thickTop="1">
      <c r="B438" s="7">
        <v>432</v>
      </c>
      <c r="C438" s="5" t="s">
        <v>608</v>
      </c>
      <c r="D438" s="5" t="s">
        <v>42</v>
      </c>
      <c r="E438" s="9">
        <v>1</v>
      </c>
      <c r="F438" s="9">
        <v>1</v>
      </c>
      <c r="G438" s="12">
        <f>34.28535*E438*F438</f>
        <v>34.28535</v>
      </c>
      <c r="H438" s="12">
        <f>611.3756988*E438*F438</f>
        <v>611.3756988</v>
      </c>
      <c r="I438" s="12">
        <f t="shared" si="66"/>
        <v>0</v>
      </c>
      <c r="J438" s="12">
        <f>34.3539207*E438*F438</f>
        <v>34.3539207</v>
      </c>
      <c r="K438" s="12">
        <f>119.0026196625*E438*F438</f>
        <v>119.0026196625</v>
      </c>
      <c r="L438" s="12">
        <f t="shared" si="64"/>
        <v>0</v>
      </c>
      <c r="M438" s="29">
        <f t="shared" si="63"/>
        <v>799.0175891625</v>
      </c>
      <c r="N438" s="14">
        <f t="shared" si="65"/>
        <v>799.0175891625</v>
      </c>
    </row>
    <row r="439" spans="2:14" ht="40.5" customHeight="1" thickBot="1" thickTop="1">
      <c r="B439" s="7">
        <v>433</v>
      </c>
      <c r="C439" s="5" t="s">
        <v>609</v>
      </c>
      <c r="D439" s="5" t="s">
        <v>42</v>
      </c>
      <c r="E439" s="9">
        <v>1</v>
      </c>
      <c r="F439" s="9">
        <v>1</v>
      </c>
      <c r="G439" s="12">
        <f>38.85215862*E439*F439</f>
        <v>38.85215862</v>
      </c>
      <c r="H439" s="12">
        <f>611.3756988*E439*F439</f>
        <v>611.3756988</v>
      </c>
      <c r="I439" s="12">
        <f t="shared" si="66"/>
        <v>0</v>
      </c>
      <c r="J439" s="12">
        <f>38.92986293724*E439*F439</f>
        <v>38.92986293724</v>
      </c>
      <c r="K439" s="12">
        <f>120.60260106252*E439*F439</f>
        <v>120.60260106252</v>
      </c>
      <c r="L439" s="12">
        <f t="shared" si="64"/>
        <v>0</v>
      </c>
      <c r="M439" s="29">
        <f t="shared" si="63"/>
        <v>809.76032141976</v>
      </c>
      <c r="N439" s="14">
        <f t="shared" si="65"/>
        <v>809.76032141976</v>
      </c>
    </row>
    <row r="440" spans="2:14" ht="40.5" customHeight="1" thickBot="1" thickTop="1">
      <c r="B440" s="7">
        <v>434</v>
      </c>
      <c r="C440" s="5" t="s">
        <v>610</v>
      </c>
      <c r="D440" s="5" t="s">
        <v>611</v>
      </c>
      <c r="E440" s="9">
        <v>1</v>
      </c>
      <c r="F440" s="9">
        <v>1</v>
      </c>
      <c r="G440" s="12">
        <f>370.28178*E440*F440</f>
        <v>370.28178</v>
      </c>
      <c r="H440" s="12">
        <f>0*E440*F440</f>
        <v>0</v>
      </c>
      <c r="I440" s="12">
        <f t="shared" si="66"/>
        <v>0</v>
      </c>
      <c r="J440" s="12">
        <f>371.02234356*E440*F440</f>
        <v>371.02234356</v>
      </c>
      <c r="K440" s="12">
        <f>129.728221623*E440*F440</f>
        <v>129.728221623</v>
      </c>
      <c r="L440" s="12">
        <f t="shared" si="64"/>
        <v>0</v>
      </c>
      <c r="M440" s="29">
        <f t="shared" si="63"/>
        <v>871.0323451830001</v>
      </c>
      <c r="N440" s="14">
        <f t="shared" si="65"/>
        <v>871.0323451830001</v>
      </c>
    </row>
    <row r="441" spans="2:14" ht="40.5" customHeight="1" thickBot="1" thickTop="1">
      <c r="B441" s="7">
        <v>435</v>
      </c>
      <c r="C441" s="5" t="s">
        <v>612</v>
      </c>
      <c r="D441" s="5" t="s">
        <v>613</v>
      </c>
      <c r="E441" s="9">
        <v>1</v>
      </c>
      <c r="F441" s="9">
        <v>1</v>
      </c>
      <c r="G441" s="12">
        <f>164.56968*E441*F441</f>
        <v>164.56968</v>
      </c>
      <c r="H441" s="12">
        <f>0*E441*F441</f>
        <v>0</v>
      </c>
      <c r="I441" s="12">
        <f t="shared" si="66"/>
        <v>0</v>
      </c>
      <c r="J441" s="12">
        <f>164.89881936*E441*F441</f>
        <v>164.89881936</v>
      </c>
      <c r="K441" s="12">
        <f>57.656987388*E441*F441</f>
        <v>57.656987388</v>
      </c>
      <c r="L441" s="12">
        <f t="shared" si="64"/>
        <v>0</v>
      </c>
      <c r="M441" s="29">
        <f t="shared" si="63"/>
        <v>387.125486748</v>
      </c>
      <c r="N441" s="14">
        <f t="shared" si="65"/>
        <v>387.125486748</v>
      </c>
    </row>
    <row r="442" spans="2:14" ht="40.5" customHeight="1" thickBot="1" thickTop="1">
      <c r="B442" s="7">
        <v>436</v>
      </c>
      <c r="C442" s="5" t="s">
        <v>614</v>
      </c>
      <c r="D442" s="5" t="s">
        <v>46</v>
      </c>
      <c r="E442" s="9">
        <v>1</v>
      </c>
      <c r="F442" s="9">
        <v>1</v>
      </c>
      <c r="G442" s="12">
        <f>189.255132*E442*F442</f>
        <v>189.255132</v>
      </c>
      <c r="H442" s="12">
        <f>1.150016544*E442*F442</f>
        <v>1.150016544</v>
      </c>
      <c r="I442" s="12">
        <f t="shared" si="66"/>
        <v>0</v>
      </c>
      <c r="J442" s="12">
        <f>189.633642264*E442*F442</f>
        <v>189.633642264</v>
      </c>
      <c r="K442" s="12">
        <f>66.5067883914*E442*F442</f>
        <v>66.5067883914</v>
      </c>
      <c r="L442" s="12">
        <f t="shared" si="64"/>
        <v>0</v>
      </c>
      <c r="M442" s="29">
        <f t="shared" si="63"/>
        <v>446.54557919940004</v>
      </c>
      <c r="N442" s="14">
        <f t="shared" si="65"/>
        <v>446.54557919940004</v>
      </c>
    </row>
    <row r="443" spans="2:14" ht="40.5" customHeight="1" thickBot="1" thickTop="1">
      <c r="B443" s="7">
        <v>437</v>
      </c>
      <c r="C443" s="5" t="s">
        <v>615</v>
      </c>
      <c r="D443" s="5" t="s">
        <v>46</v>
      </c>
      <c r="E443" s="9">
        <v>1</v>
      </c>
      <c r="F443" s="9">
        <v>1</v>
      </c>
      <c r="G443" s="12">
        <f>34.971057*E443*F443</f>
        <v>34.971057</v>
      </c>
      <c r="H443" s="12">
        <f>0.5396802048*E443*F443</f>
        <v>0.5396802048</v>
      </c>
      <c r="I443" s="12">
        <f t="shared" si="66"/>
        <v>0</v>
      </c>
      <c r="J443" s="12">
        <f>35.040999114*E443*F443</f>
        <v>35.040999114</v>
      </c>
      <c r="K443" s="12">
        <f>12.34655385579*E443*F443</f>
        <v>12.34655385579</v>
      </c>
      <c r="L443" s="12">
        <f t="shared" si="64"/>
        <v>0</v>
      </c>
      <c r="M443" s="29">
        <f t="shared" si="63"/>
        <v>82.89829017459002</v>
      </c>
      <c r="N443" s="14">
        <f t="shared" si="65"/>
        <v>82.89829017459002</v>
      </c>
    </row>
    <row r="444" spans="2:14" ht="40.5" customHeight="1" thickBot="1" thickTop="1">
      <c r="B444" s="7">
        <v>438</v>
      </c>
      <c r="C444" s="5" t="s">
        <v>616</v>
      </c>
      <c r="D444" s="5" t="s">
        <v>617</v>
      </c>
      <c r="E444" s="9">
        <v>1</v>
      </c>
      <c r="F444" s="9">
        <v>1</v>
      </c>
      <c r="G444" s="12">
        <f>71.7249522*E444*F444</f>
        <v>71.7249522</v>
      </c>
      <c r="H444" s="12">
        <f>0.381468168*E444*F444</f>
        <v>0.381468168</v>
      </c>
      <c r="I444" s="12">
        <f t="shared" si="66"/>
        <v>0</v>
      </c>
      <c r="J444" s="12">
        <f>71.8684021044*E444*F444</f>
        <v>71.8684021044</v>
      </c>
      <c r="K444" s="12">
        <f>25.19559393267*E444*F444</f>
        <v>25.19559393267</v>
      </c>
      <c r="L444" s="12">
        <f t="shared" si="64"/>
        <v>0</v>
      </c>
      <c r="M444" s="29">
        <f t="shared" si="63"/>
        <v>169.17041640507</v>
      </c>
      <c r="N444" s="14">
        <f t="shared" si="65"/>
        <v>169.17041640507</v>
      </c>
    </row>
    <row r="445" spans="2:14" ht="40.5" customHeight="1" thickBot="1" thickTop="1">
      <c r="B445" s="7">
        <v>439</v>
      </c>
      <c r="C445" s="5" t="s">
        <v>618</v>
      </c>
      <c r="D445" s="5" t="s">
        <v>46</v>
      </c>
      <c r="E445" s="9">
        <v>1</v>
      </c>
      <c r="F445" s="9">
        <v>1</v>
      </c>
      <c r="G445" s="12">
        <f>822.8484*E445*F445</f>
        <v>822.8484</v>
      </c>
      <c r="H445" s="12">
        <f>2.02442256*E445*F445</f>
        <v>2.02442256</v>
      </c>
      <c r="I445" s="12">
        <f t="shared" si="66"/>
        <v>0</v>
      </c>
      <c r="J445" s="12">
        <f>824.4940968*E445*F445</f>
        <v>824.4940968</v>
      </c>
      <c r="K445" s="12">
        <f>288.639210888*E445*F445</f>
        <v>288.639210888</v>
      </c>
      <c r="L445" s="12">
        <f t="shared" si="64"/>
        <v>0</v>
      </c>
      <c r="M445" s="29">
        <f t="shared" si="63"/>
        <v>1938.0061302479999</v>
      </c>
      <c r="N445" s="14">
        <f t="shared" si="65"/>
        <v>1938.0061302479999</v>
      </c>
    </row>
    <row r="446" spans="2:14" ht="40.5" customHeight="1" thickBot="1" thickTop="1">
      <c r="B446" s="7">
        <v>440</v>
      </c>
      <c r="C446" s="5" t="s">
        <v>619</v>
      </c>
      <c r="D446" s="5" t="s">
        <v>550</v>
      </c>
      <c r="E446" s="9">
        <v>1</v>
      </c>
      <c r="F446" s="9">
        <v>1</v>
      </c>
      <c r="G446" s="12">
        <f>333.253602*E446*F446</f>
        <v>333.253602</v>
      </c>
      <c r="H446" s="12">
        <f>1.880925696*E446*F446</f>
        <v>1.880925696</v>
      </c>
      <c r="I446" s="12">
        <f t="shared" si="66"/>
        <v>0</v>
      </c>
      <c r="J446" s="12">
        <f>333.920109204*E446*F446</f>
        <v>333.920109204</v>
      </c>
      <c r="K446" s="12">
        <f>117.0845614575*E446*F446</f>
        <v>117.0845614575</v>
      </c>
      <c r="L446" s="12">
        <f t="shared" si="64"/>
        <v>0</v>
      </c>
      <c r="M446" s="29">
        <f t="shared" si="63"/>
        <v>786.1391983575002</v>
      </c>
      <c r="N446" s="14">
        <f t="shared" si="65"/>
        <v>786.1391983575002</v>
      </c>
    </row>
    <row r="447" spans="2:14" ht="40.5" customHeight="1" thickBot="1" thickTop="1">
      <c r="B447" s="7">
        <v>441</v>
      </c>
      <c r="C447" s="5" t="s">
        <v>620</v>
      </c>
      <c r="D447" s="5" t="s">
        <v>621</v>
      </c>
      <c r="E447" s="9">
        <v>1</v>
      </c>
      <c r="F447" s="9">
        <v>1</v>
      </c>
      <c r="G447" s="12">
        <f>10697.0292*E447*F447</f>
        <v>10697.0292</v>
      </c>
      <c r="H447" s="12">
        <f>8067.9653040384*E447*F447</f>
        <v>8067.9653040384</v>
      </c>
      <c r="I447" s="12">
        <f t="shared" si="66"/>
        <v>0</v>
      </c>
      <c r="J447" s="12">
        <f>10718.4232584*E447*F447</f>
        <v>10718.4232584</v>
      </c>
      <c r="K447" s="12">
        <f>5159.5981084267*E447*F447</f>
        <v>5159.5981084267</v>
      </c>
      <c r="L447" s="12">
        <f t="shared" si="64"/>
        <v>0</v>
      </c>
      <c r="M447" s="29">
        <f t="shared" si="63"/>
        <v>34643.0158708651</v>
      </c>
      <c r="N447" s="14">
        <f t="shared" si="65"/>
        <v>34643.0158708651</v>
      </c>
    </row>
    <row r="448" spans="2:14" ht="40.5" customHeight="1" thickBot="1" thickTop="1">
      <c r="B448" s="7">
        <v>442</v>
      </c>
      <c r="C448" s="5" t="s">
        <v>622</v>
      </c>
      <c r="D448" s="5" t="s">
        <v>623</v>
      </c>
      <c r="E448" s="9">
        <v>1</v>
      </c>
      <c r="F448" s="9">
        <v>1</v>
      </c>
      <c r="G448" s="12">
        <f>42.302832*E448*F448</f>
        <v>42.302832</v>
      </c>
      <c r="H448" s="12">
        <f>0*E448*F448</f>
        <v>0</v>
      </c>
      <c r="I448" s="12">
        <f t="shared" si="66"/>
        <v>0</v>
      </c>
      <c r="J448" s="12">
        <f>42.387437664*E448*F448</f>
        <v>42.387437664</v>
      </c>
      <c r="K448" s="12">
        <f>14.8207971912*E448*F448</f>
        <v>14.8207971912</v>
      </c>
      <c r="L448" s="12">
        <f t="shared" si="64"/>
        <v>0</v>
      </c>
      <c r="M448" s="29">
        <f t="shared" si="63"/>
        <v>99.5110668552</v>
      </c>
      <c r="N448" s="14">
        <f t="shared" si="65"/>
        <v>99.5110668552</v>
      </c>
    </row>
    <row r="449" spans="2:14" ht="40.5" customHeight="1" thickBot="1" thickTop="1">
      <c r="B449" s="7">
        <v>443</v>
      </c>
      <c r="C449" s="5" t="s">
        <v>624</v>
      </c>
      <c r="D449" s="5" t="s">
        <v>220</v>
      </c>
      <c r="E449" s="9">
        <v>1</v>
      </c>
      <c r="F449" s="9">
        <v>1</v>
      </c>
      <c r="G449" s="12">
        <f>49.096476*E449*F449</f>
        <v>49.096476</v>
      </c>
      <c r="H449" s="12">
        <f>458.96805972*E449*F449</f>
        <v>458.96805972</v>
      </c>
      <c r="I449" s="12">
        <f t="shared" si="66"/>
        <v>0</v>
      </c>
      <c r="J449" s="12">
        <f>49.194668952*E449*F449</f>
        <v>49.194668952</v>
      </c>
      <c r="K449" s="12">
        <f>97.5203608176*E449*F449</f>
        <v>97.5203608176</v>
      </c>
      <c r="L449" s="12">
        <f t="shared" si="64"/>
        <v>0</v>
      </c>
      <c r="M449" s="29">
        <f t="shared" si="63"/>
        <v>654.7795654896</v>
      </c>
      <c r="N449" s="14">
        <f t="shared" si="65"/>
        <v>654.7795654896</v>
      </c>
    </row>
    <row r="450" spans="2:14" ht="40.5" customHeight="1" thickBot="1" thickTop="1">
      <c r="B450" s="7">
        <v>444</v>
      </c>
      <c r="C450" s="5" t="s">
        <v>625</v>
      </c>
      <c r="D450" s="5" t="s">
        <v>220</v>
      </c>
      <c r="E450" s="9">
        <v>1</v>
      </c>
      <c r="F450" s="9">
        <v>1</v>
      </c>
      <c r="G450" s="12">
        <f>35.706528*E450*F450</f>
        <v>35.706528</v>
      </c>
      <c r="H450" s="12">
        <f>3.8876610888*E450*F450</f>
        <v>3.8876610888</v>
      </c>
      <c r="I450" s="12">
        <f t="shared" si="66"/>
        <v>0</v>
      </c>
      <c r="J450" s="12">
        <f>35.777941056*E450*F450</f>
        <v>35.777941056</v>
      </c>
      <c r="K450" s="12">
        <f>13.19012277534*E450*F450</f>
        <v>13.19012277534</v>
      </c>
      <c r="L450" s="12">
        <f t="shared" si="64"/>
        <v>0</v>
      </c>
      <c r="M450" s="29">
        <f t="shared" si="63"/>
        <v>88.56225292014</v>
      </c>
      <c r="N450" s="14">
        <f t="shared" si="65"/>
        <v>88.56225292014</v>
      </c>
    </row>
    <row r="451" spans="2:14" ht="40.5" customHeight="1" thickBot="1" thickTop="1">
      <c r="B451" s="7">
        <v>445</v>
      </c>
      <c r="C451" s="5" t="s">
        <v>626</v>
      </c>
      <c r="D451" s="5" t="s">
        <v>627</v>
      </c>
      <c r="E451" s="9">
        <v>1</v>
      </c>
      <c r="F451" s="9">
        <v>1</v>
      </c>
      <c r="G451" s="12">
        <f>34.167672*E451*F451</f>
        <v>34.167672</v>
      </c>
      <c r="H451" s="12">
        <f>11.818188792*E451*F451</f>
        <v>11.818188792</v>
      </c>
      <c r="I451" s="12">
        <f t="shared" si="66"/>
        <v>0</v>
      </c>
      <c r="J451" s="12">
        <f>34.236007344*E451*F451</f>
        <v>34.236007344</v>
      </c>
      <c r="K451" s="12">
        <f>14.0388269238*E451*F451</f>
        <v>14.0388269238</v>
      </c>
      <c r="L451" s="12">
        <f t="shared" si="64"/>
        <v>0</v>
      </c>
      <c r="M451" s="29">
        <f t="shared" si="63"/>
        <v>94.26069505980001</v>
      </c>
      <c r="N451" s="14">
        <f t="shared" si="65"/>
        <v>94.26069505980001</v>
      </c>
    </row>
    <row r="452" spans="2:14" ht="40.5" customHeight="1" thickBot="1" thickTop="1">
      <c r="B452" s="7">
        <v>446</v>
      </c>
      <c r="C452" s="5" t="s">
        <v>628</v>
      </c>
      <c r="D452" s="5" t="s">
        <v>627</v>
      </c>
      <c r="E452" s="9">
        <v>1</v>
      </c>
      <c r="F452" s="9">
        <v>1</v>
      </c>
      <c r="G452" s="12">
        <f>39.048768*E452*F452</f>
        <v>39.048768</v>
      </c>
      <c r="H452" s="12">
        <f>308.5888824*E452*F452</f>
        <v>308.5888824</v>
      </c>
      <c r="I452" s="12">
        <f t="shared" si="66"/>
        <v>0</v>
      </c>
      <c r="J452" s="12">
        <f>39.126865536*E452*F452</f>
        <v>39.126865536</v>
      </c>
      <c r="K452" s="12">
        <f>67.6837902888*E452*F452</f>
        <v>67.6837902888</v>
      </c>
      <c r="L452" s="12">
        <f t="shared" si="64"/>
        <v>0</v>
      </c>
      <c r="M452" s="29">
        <f t="shared" si="63"/>
        <v>454.4483062247999</v>
      </c>
      <c r="N452" s="14">
        <f t="shared" si="65"/>
        <v>454.4483062247999</v>
      </c>
    </row>
    <row r="453" spans="2:14" ht="40.5" customHeight="1" thickBot="1" thickTop="1">
      <c r="B453" s="7">
        <v>447</v>
      </c>
      <c r="C453" s="5" t="s">
        <v>629</v>
      </c>
      <c r="D453" s="5" t="s">
        <v>64</v>
      </c>
      <c r="E453" s="9">
        <v>1</v>
      </c>
      <c r="F453" s="9">
        <v>1</v>
      </c>
      <c r="G453" s="12">
        <f>16286.59032*E453*F453</f>
        <v>16286.59032</v>
      </c>
      <c r="H453" s="12">
        <f>47424.269232*E453*F453</f>
        <v>47424.269232</v>
      </c>
      <c r="I453" s="12">
        <f>3285.989226*E453*F453</f>
        <v>3285.989226</v>
      </c>
      <c r="J453" s="12">
        <f>17644.564048716*E453*F453</f>
        <v>17644.564048716</v>
      </c>
      <c r="K453" s="12">
        <f>14812.247244675*E453*F453</f>
        <v>14812.247244675</v>
      </c>
      <c r="L453" s="12">
        <f t="shared" si="64"/>
        <v>0</v>
      </c>
      <c r="M453" s="29">
        <f t="shared" si="63"/>
        <v>99453.660071391</v>
      </c>
      <c r="N453" s="14">
        <f t="shared" si="65"/>
        <v>99453.660071391</v>
      </c>
    </row>
    <row r="454" spans="2:14" ht="40.5" customHeight="1" thickBot="1" thickTop="1">
      <c r="B454" s="7">
        <v>448</v>
      </c>
      <c r="C454" s="5" t="s">
        <v>630</v>
      </c>
      <c r="D454" s="5" t="s">
        <v>631</v>
      </c>
      <c r="E454" s="9">
        <v>1</v>
      </c>
      <c r="F454" s="9">
        <v>1</v>
      </c>
      <c r="G454" s="12">
        <f>1854.81648*E454*F454</f>
        <v>1854.81648</v>
      </c>
      <c r="H454" s="12">
        <f>6368.124996*E454*F454</f>
        <v>6368.124996</v>
      </c>
      <c r="I454" s="12">
        <f>295.482096*E454*F454</f>
        <v>295.482096</v>
      </c>
      <c r="J454" s="12">
        <f>1966.194828576*E454*F454</f>
        <v>1966.194828576</v>
      </c>
      <c r="K454" s="12">
        <f>1834.8082201008*E454*F454</f>
        <v>1834.8082201008</v>
      </c>
      <c r="L454" s="12">
        <f t="shared" si="64"/>
        <v>0</v>
      </c>
      <c r="M454" s="29">
        <f t="shared" si="63"/>
        <v>12319.4266206768</v>
      </c>
      <c r="N454" s="14">
        <f t="shared" si="65"/>
        <v>12319.4266206768</v>
      </c>
    </row>
    <row r="455" spans="2:14" ht="40.5" customHeight="1" thickBot="1" thickTop="1">
      <c r="B455" s="7">
        <v>449</v>
      </c>
      <c r="C455" s="5" t="s">
        <v>632</v>
      </c>
      <c r="D455" s="5" t="s">
        <v>633</v>
      </c>
      <c r="E455" s="9">
        <v>1</v>
      </c>
      <c r="F455" s="9">
        <v>1</v>
      </c>
      <c r="G455" s="12">
        <f>1230.036192*E455*F455</f>
        <v>1230.036192</v>
      </c>
      <c r="H455" s="12">
        <f>61.8914376*E455*F455</f>
        <v>61.8914376</v>
      </c>
      <c r="I455" s="12">
        <f>416.840814*E455*F455</f>
        <v>416.840814</v>
      </c>
      <c r="J455" s="12">
        <f>1384.386059628*E455*F455</f>
        <v>1384.386059628</v>
      </c>
      <c r="K455" s="12">
        <f>541.3020380649*E455*F455</f>
        <v>541.3020380649</v>
      </c>
      <c r="L455" s="12">
        <f t="shared" si="64"/>
        <v>0</v>
      </c>
      <c r="M455" s="29">
        <f t="shared" si="63"/>
        <v>3634.4565412929</v>
      </c>
      <c r="N455" s="14">
        <f t="shared" si="65"/>
        <v>3634.4565412929</v>
      </c>
    </row>
    <row r="456" spans="2:14" ht="40.5" customHeight="1" thickBot="1" thickTop="1">
      <c r="B456" s="7">
        <v>450</v>
      </c>
      <c r="C456" s="5" t="s">
        <v>634</v>
      </c>
      <c r="D456" s="5" t="s">
        <v>64</v>
      </c>
      <c r="E456" s="9">
        <v>1</v>
      </c>
      <c r="F456" s="9">
        <v>1</v>
      </c>
      <c r="G456" s="12">
        <f>3473.71332*E456*F456</f>
        <v>3473.71332</v>
      </c>
      <c r="H456" s="12">
        <f>3267.789912*E456*F456</f>
        <v>3267.789912</v>
      </c>
      <c r="I456" s="12">
        <f aca="true" t="shared" si="67" ref="I456:I471">0*E456*F456</f>
        <v>0</v>
      </c>
      <c r="J456" s="12">
        <f>3480.66074664*E456*F456</f>
        <v>3480.66074664</v>
      </c>
      <c r="K456" s="12">
        <f>1788.878696262*E456*F456</f>
        <v>1788.878696262</v>
      </c>
      <c r="L456" s="12">
        <f t="shared" si="64"/>
        <v>0</v>
      </c>
      <c r="M456" s="29">
        <f t="shared" si="63"/>
        <v>12011.042674902</v>
      </c>
      <c r="N456" s="14">
        <f t="shared" si="65"/>
        <v>12011.042674902</v>
      </c>
    </row>
    <row r="457" spans="2:14" ht="40.5" customHeight="1" thickBot="1" thickTop="1">
      <c r="B457" s="7">
        <v>451</v>
      </c>
      <c r="C457" s="5" t="s">
        <v>635</v>
      </c>
      <c r="D457" s="5" t="s">
        <v>64</v>
      </c>
      <c r="E457" s="9">
        <v>1</v>
      </c>
      <c r="F457" s="9">
        <v>1</v>
      </c>
      <c r="G457" s="12">
        <f>3911.384928*E457*F457</f>
        <v>3911.384928</v>
      </c>
      <c r="H457" s="12">
        <f>30764.34036*E457*F457</f>
        <v>30764.34036</v>
      </c>
      <c r="I457" s="12">
        <f t="shared" si="67"/>
        <v>0</v>
      </c>
      <c r="J457" s="12">
        <f>3919.207697856*E457*F457</f>
        <v>3919.207697856</v>
      </c>
      <c r="K457" s="12">
        <f>6754.1132725248*E457*F457</f>
        <v>6754.1132725248</v>
      </c>
      <c r="L457" s="12">
        <f aca="true" t="shared" si="68" ref="L457:L471">0*E457*F457</f>
        <v>0</v>
      </c>
      <c r="M457" s="29">
        <f t="shared" si="63"/>
        <v>45349.046258380804</v>
      </c>
      <c r="N457" s="14">
        <f aca="true" t="shared" si="69" ref="N457:N471">SUM(G457:L457)</f>
        <v>45349.046258380804</v>
      </c>
    </row>
    <row r="458" spans="2:14" ht="40.5" customHeight="1" thickBot="1" thickTop="1">
      <c r="B458" s="7">
        <v>452</v>
      </c>
      <c r="C458" s="5" t="s">
        <v>636</v>
      </c>
      <c r="D458" s="5" t="s">
        <v>564</v>
      </c>
      <c r="E458" s="9">
        <v>1</v>
      </c>
      <c r="F458" s="9">
        <v>1</v>
      </c>
      <c r="G458" s="12">
        <f>618.60876*E458*F458</f>
        <v>618.60876</v>
      </c>
      <c r="H458" s="12">
        <f>5634.5693891688*E458*F458</f>
        <v>5634.5693891688</v>
      </c>
      <c r="I458" s="12">
        <f t="shared" si="67"/>
        <v>0</v>
      </c>
      <c r="J458" s="12">
        <f>619.84597752*E458*F458</f>
        <v>619.84597752</v>
      </c>
      <c r="K458" s="12">
        <f>1202.7792221705*E458*F458</f>
        <v>1202.7792221705</v>
      </c>
      <c r="L458" s="12">
        <f t="shared" si="68"/>
        <v>0</v>
      </c>
      <c r="M458" s="29">
        <f t="shared" si="63"/>
        <v>8075.803348859299</v>
      </c>
      <c r="N458" s="14">
        <f t="shared" si="69"/>
        <v>8075.803348859299</v>
      </c>
    </row>
    <row r="459" spans="2:14" ht="40.5" customHeight="1" thickBot="1" thickTop="1">
      <c r="B459" s="7">
        <v>453</v>
      </c>
      <c r="C459" s="5" t="s">
        <v>637</v>
      </c>
      <c r="D459" s="5" t="s">
        <v>564</v>
      </c>
      <c r="E459" s="9">
        <v>1</v>
      </c>
      <c r="F459" s="9">
        <v>1</v>
      </c>
      <c r="G459" s="12">
        <f>622.36878*E459*F459</f>
        <v>622.36878</v>
      </c>
      <c r="H459" s="12">
        <f>8347.3601563152*E459*F459</f>
        <v>8347.3601563152</v>
      </c>
      <c r="I459" s="12">
        <f t="shared" si="67"/>
        <v>0</v>
      </c>
      <c r="J459" s="12">
        <f>623.61351756*E459*F459</f>
        <v>623.61351756</v>
      </c>
      <c r="K459" s="12">
        <f>1678.8349294282*E459*F459</f>
        <v>1678.8349294282</v>
      </c>
      <c r="L459" s="12">
        <f t="shared" si="68"/>
        <v>0</v>
      </c>
      <c r="M459" s="29">
        <f t="shared" si="63"/>
        <v>11272.1773833034</v>
      </c>
      <c r="N459" s="14">
        <f t="shared" si="69"/>
        <v>11272.1773833034</v>
      </c>
    </row>
    <row r="460" spans="2:14" ht="40.5" customHeight="1" thickBot="1" thickTop="1">
      <c r="B460" s="7">
        <v>454</v>
      </c>
      <c r="C460" s="5" t="s">
        <v>638</v>
      </c>
      <c r="D460" s="5" t="s">
        <v>564</v>
      </c>
      <c r="E460" s="9">
        <v>1</v>
      </c>
      <c r="F460" s="9">
        <v>1</v>
      </c>
      <c r="G460" s="12">
        <f>878.01714*E460*F460</f>
        <v>878.01714</v>
      </c>
      <c r="H460" s="12">
        <f>12565.389372984*E460*F460</f>
        <v>12565.389372984</v>
      </c>
      <c r="I460" s="12">
        <f t="shared" si="67"/>
        <v>0</v>
      </c>
      <c r="J460" s="12">
        <f>879.77317428*E460*F460</f>
        <v>879.77317428</v>
      </c>
      <c r="K460" s="12">
        <f>2506.5564452712*E460*F460</f>
        <v>2506.5564452712</v>
      </c>
      <c r="L460" s="12">
        <f t="shared" si="68"/>
        <v>0</v>
      </c>
      <c r="M460" s="29">
        <f t="shared" si="63"/>
        <v>16829.7361325352</v>
      </c>
      <c r="N460" s="14">
        <f t="shared" si="69"/>
        <v>16829.7361325352</v>
      </c>
    </row>
    <row r="461" spans="2:14" ht="40.5" customHeight="1" thickBot="1" thickTop="1">
      <c r="B461" s="7">
        <v>455</v>
      </c>
      <c r="C461" s="5" t="s">
        <v>639</v>
      </c>
      <c r="D461" s="5" t="s">
        <v>568</v>
      </c>
      <c r="E461" s="9">
        <v>1</v>
      </c>
      <c r="F461" s="9">
        <v>1</v>
      </c>
      <c r="G461" s="12">
        <f>4146.8196*E461*F461</f>
        <v>4146.8196</v>
      </c>
      <c r="H461" s="12">
        <f>14405.197170888*E461*F461</f>
        <v>14405.197170888</v>
      </c>
      <c r="I461" s="12">
        <f t="shared" si="67"/>
        <v>0</v>
      </c>
      <c r="J461" s="12">
        <f>4155.1132392*E461*F461</f>
        <v>4155.1132392</v>
      </c>
      <c r="K461" s="12">
        <f>3973.7477517654*E461*F461</f>
        <v>3973.7477517654</v>
      </c>
      <c r="L461" s="12">
        <f t="shared" si="68"/>
        <v>0</v>
      </c>
      <c r="M461" s="29">
        <f t="shared" si="63"/>
        <v>26680.8777618534</v>
      </c>
      <c r="N461" s="14">
        <f t="shared" si="69"/>
        <v>26680.8777618534</v>
      </c>
    </row>
    <row r="462" spans="2:14" ht="40.5" customHeight="1" thickBot="1" thickTop="1">
      <c r="B462" s="7">
        <v>456</v>
      </c>
      <c r="C462" s="5" t="s">
        <v>640</v>
      </c>
      <c r="D462" s="5" t="s">
        <v>568</v>
      </c>
      <c r="E462" s="9">
        <v>1</v>
      </c>
      <c r="F462" s="9">
        <v>1</v>
      </c>
      <c r="G462" s="12">
        <f>4146.8196*E462*F462</f>
        <v>4146.8196</v>
      </c>
      <c r="H462" s="12">
        <f>27619.403250888*E462*F462</f>
        <v>27619.403250888</v>
      </c>
      <c r="I462" s="12">
        <f t="shared" si="67"/>
        <v>0</v>
      </c>
      <c r="J462" s="12">
        <f>4155.1132392*E462*F462</f>
        <v>4155.1132392</v>
      </c>
      <c r="K462" s="12">
        <f>6286.2338157654*E462*F462</f>
        <v>6286.2338157654</v>
      </c>
      <c r="L462" s="12">
        <f t="shared" si="68"/>
        <v>0</v>
      </c>
      <c r="M462" s="29">
        <f t="shared" si="63"/>
        <v>42207.5699058534</v>
      </c>
      <c r="N462" s="14">
        <f t="shared" si="69"/>
        <v>42207.5699058534</v>
      </c>
    </row>
    <row r="463" spans="2:14" ht="40.5" customHeight="1" thickBot="1" thickTop="1">
      <c r="B463" s="7">
        <v>457</v>
      </c>
      <c r="C463" s="5" t="s">
        <v>641</v>
      </c>
      <c r="D463" s="5" t="s">
        <v>571</v>
      </c>
      <c r="E463" s="9">
        <v>1</v>
      </c>
      <c r="F463" s="9">
        <v>1</v>
      </c>
      <c r="G463" s="12">
        <f>1444.770624*E463*F463</f>
        <v>1444.770624</v>
      </c>
      <c r="H463" s="12">
        <f>3328.6885202376*E463*F463</f>
        <v>3328.6885202376</v>
      </c>
      <c r="I463" s="12">
        <f t="shared" si="67"/>
        <v>0</v>
      </c>
      <c r="J463" s="12">
        <f>1447.660165248*E463*F463</f>
        <v>1447.660165248</v>
      </c>
      <c r="K463" s="12">
        <f>1088.69587916*E463*F463</f>
        <v>1088.69587916</v>
      </c>
      <c r="L463" s="12">
        <f t="shared" si="68"/>
        <v>0</v>
      </c>
      <c r="M463" s="29">
        <f t="shared" si="63"/>
        <v>7309.815188645601</v>
      </c>
      <c r="N463" s="14">
        <f t="shared" si="69"/>
        <v>7309.815188645601</v>
      </c>
    </row>
    <row r="464" spans="2:14" ht="40.5" customHeight="1" thickBot="1" thickTop="1">
      <c r="B464" s="7">
        <v>458</v>
      </c>
      <c r="C464" s="5" t="s">
        <v>642</v>
      </c>
      <c r="D464" s="5" t="s">
        <v>573</v>
      </c>
      <c r="E464" s="9">
        <v>1</v>
      </c>
      <c r="F464" s="9">
        <v>1</v>
      </c>
      <c r="G464" s="12">
        <f>4129.948152*E464*F464</f>
        <v>4129.948152</v>
      </c>
      <c r="H464" s="12">
        <f>27494.041170888*E464*F464</f>
        <v>27494.041170888</v>
      </c>
      <c r="I464" s="12">
        <f t="shared" si="67"/>
        <v>0</v>
      </c>
      <c r="J464" s="12">
        <f>4138.208048304*E464*F464</f>
        <v>4138.208048304</v>
      </c>
      <c r="K464" s="12">
        <f>6258.3845399586*E464*F464</f>
        <v>6258.3845399586</v>
      </c>
      <c r="L464" s="12">
        <f t="shared" si="68"/>
        <v>0</v>
      </c>
      <c r="M464" s="29">
        <f t="shared" si="63"/>
        <v>42020.5819111506</v>
      </c>
      <c r="N464" s="14">
        <f t="shared" si="69"/>
        <v>42020.5819111506</v>
      </c>
    </row>
    <row r="465" spans="2:14" ht="40.5" customHeight="1" thickBot="1" thickTop="1">
      <c r="B465" s="7">
        <v>459</v>
      </c>
      <c r="C465" s="5" t="s">
        <v>643</v>
      </c>
      <c r="D465" s="5" t="s">
        <v>575</v>
      </c>
      <c r="E465" s="9">
        <v>1</v>
      </c>
      <c r="F465" s="9">
        <v>1</v>
      </c>
      <c r="G465" s="12">
        <f>3865.995276*E465*F465</f>
        <v>3865.995276</v>
      </c>
      <c r="H465" s="12">
        <f>16787.823330888*E465*F465</f>
        <v>16787.823330888</v>
      </c>
      <c r="I465" s="12">
        <f t="shared" si="67"/>
        <v>0</v>
      </c>
      <c r="J465" s="12">
        <f>3873.727266552*E465*F465</f>
        <v>3873.727266552</v>
      </c>
      <c r="K465" s="12">
        <f>4292.320527852*E465*F465</f>
        <v>4292.320527852</v>
      </c>
      <c r="L465" s="12">
        <f t="shared" si="68"/>
        <v>0</v>
      </c>
      <c r="M465" s="29">
        <f t="shared" si="63"/>
        <v>28819.866401292</v>
      </c>
      <c r="N465" s="14">
        <f t="shared" si="69"/>
        <v>28819.866401292</v>
      </c>
    </row>
    <row r="466" spans="2:14" ht="40.5" customHeight="1" thickBot="1" thickTop="1">
      <c r="B466" s="7">
        <v>460</v>
      </c>
      <c r="C466" s="5" t="s">
        <v>644</v>
      </c>
      <c r="D466" s="5" t="s">
        <v>577</v>
      </c>
      <c r="E466" s="9">
        <v>1</v>
      </c>
      <c r="F466" s="9">
        <v>1</v>
      </c>
      <c r="G466" s="12">
        <f>427.131936*E466*F466</f>
        <v>427.131936</v>
      </c>
      <c r="H466" s="12">
        <f>9305.8233311808*E466*F466</f>
        <v>9305.8233311808</v>
      </c>
      <c r="I466" s="12">
        <f t="shared" si="67"/>
        <v>0</v>
      </c>
      <c r="J466" s="12">
        <f>427.986199872*E466*F466</f>
        <v>427.986199872</v>
      </c>
      <c r="K466" s="12">
        <f>1778.1647567342*E466*F466</f>
        <v>1778.1647567342</v>
      </c>
      <c r="L466" s="12">
        <f t="shared" si="68"/>
        <v>0</v>
      </c>
      <c r="M466" s="29">
        <f t="shared" si="63"/>
        <v>11939.106223787001</v>
      </c>
      <c r="N466" s="14">
        <f t="shared" si="69"/>
        <v>11939.106223787001</v>
      </c>
    </row>
    <row r="467" spans="2:14" ht="40.5" customHeight="1" thickBot="1" thickTop="1">
      <c r="B467" s="7">
        <v>461</v>
      </c>
      <c r="C467" s="5" t="s">
        <v>645</v>
      </c>
      <c r="D467" s="5" t="s">
        <v>582</v>
      </c>
      <c r="E467" s="9">
        <v>1</v>
      </c>
      <c r="F467" s="9">
        <v>1</v>
      </c>
      <c r="G467" s="12">
        <f>357.740592*E467*F467</f>
        <v>357.740592</v>
      </c>
      <c r="H467" s="12">
        <f>2720.1973419432*E467*F467</f>
        <v>2720.1973419432</v>
      </c>
      <c r="I467" s="12">
        <f t="shared" si="67"/>
        <v>0</v>
      </c>
      <c r="J467" s="12">
        <f>358.456073184*E467*F467</f>
        <v>358.456073184</v>
      </c>
      <c r="K467" s="12">
        <f>601.36895124726*E467*F467</f>
        <v>601.36895124726</v>
      </c>
      <c r="L467" s="12">
        <f t="shared" si="68"/>
        <v>0</v>
      </c>
      <c r="M467" s="29">
        <f t="shared" si="63"/>
        <v>4037.7629583744606</v>
      </c>
      <c r="N467" s="14">
        <f t="shared" si="69"/>
        <v>4037.7629583744606</v>
      </c>
    </row>
    <row r="468" spans="2:14" ht="40.5" customHeight="1" thickBot="1" thickTop="1">
      <c r="B468" s="7">
        <v>462</v>
      </c>
      <c r="C468" s="5" t="s">
        <v>646</v>
      </c>
      <c r="D468" s="5" t="s">
        <v>582</v>
      </c>
      <c r="E468" s="9">
        <v>1</v>
      </c>
      <c r="F468" s="9">
        <v>1</v>
      </c>
      <c r="G468" s="12">
        <f>408.575376*E468*F468</f>
        <v>408.575376</v>
      </c>
      <c r="H468" s="12">
        <f>252.7253512848*E468*F468</f>
        <v>252.7253512848</v>
      </c>
      <c r="I468" s="12">
        <f t="shared" si="67"/>
        <v>0</v>
      </c>
      <c r="J468" s="12">
        <f>409.392526752*E468*F468</f>
        <v>409.392526752</v>
      </c>
      <c r="K468" s="12">
        <f>187.37131945644*E468*F468</f>
        <v>187.37131945644</v>
      </c>
      <c r="L468" s="12">
        <f t="shared" si="68"/>
        <v>0</v>
      </c>
      <c r="M468" s="29">
        <f t="shared" si="63"/>
        <v>1258.06457349324</v>
      </c>
      <c r="N468" s="14">
        <f t="shared" si="69"/>
        <v>1258.06457349324</v>
      </c>
    </row>
    <row r="469" spans="2:14" ht="40.5" customHeight="1" thickBot="1" thickTop="1">
      <c r="B469" s="7">
        <v>463</v>
      </c>
      <c r="C469" s="5" t="s">
        <v>647</v>
      </c>
      <c r="D469" s="5" t="s">
        <v>648</v>
      </c>
      <c r="E469" s="9">
        <v>1</v>
      </c>
      <c r="F469" s="9">
        <v>1</v>
      </c>
      <c r="G469" s="12">
        <f>413.544464*E469*F469</f>
        <v>413.544464</v>
      </c>
      <c r="H469" s="12">
        <f>1206.5557968*E469*F469</f>
        <v>1206.5557968</v>
      </c>
      <c r="I469" s="12">
        <f t="shared" si="67"/>
        <v>0</v>
      </c>
      <c r="J469" s="12">
        <f>414.371552928*E469*F469</f>
        <v>414.371552928</v>
      </c>
      <c r="K469" s="12">
        <f>356.0325674024*E469*F469</f>
        <v>356.0325674024</v>
      </c>
      <c r="L469" s="12">
        <f t="shared" si="68"/>
        <v>0</v>
      </c>
      <c r="M469" s="29">
        <f>N469/F469/E469</f>
        <v>2390.5043811304004</v>
      </c>
      <c r="N469" s="14">
        <f t="shared" si="69"/>
        <v>2390.5043811304004</v>
      </c>
    </row>
    <row r="470" spans="2:14" ht="40.5" customHeight="1" thickBot="1" thickTop="1">
      <c r="B470" s="7">
        <v>464</v>
      </c>
      <c r="C470" s="5" t="s">
        <v>649</v>
      </c>
      <c r="D470" s="5" t="s">
        <v>648</v>
      </c>
      <c r="E470" s="9">
        <v>1</v>
      </c>
      <c r="F470" s="9">
        <v>1</v>
      </c>
      <c r="G470" s="12">
        <f>738.467872*E470*F470</f>
        <v>738.467872</v>
      </c>
      <c r="H470" s="12">
        <f>5235.0585264*E470*F470</f>
        <v>5235.0585264</v>
      </c>
      <c r="I470" s="12">
        <f t="shared" si="67"/>
        <v>0</v>
      </c>
      <c r="J470" s="12">
        <f>739.944807744*E470*F470</f>
        <v>739.944807744</v>
      </c>
      <c r="K470" s="12">
        <f>1174.8574610752*E470*F470</f>
        <v>1174.8574610752</v>
      </c>
      <c r="L470" s="12">
        <f t="shared" si="68"/>
        <v>0</v>
      </c>
      <c r="M470" s="29">
        <f>N470/F470/E470</f>
        <v>7888.328667219201</v>
      </c>
      <c r="N470" s="14">
        <f t="shared" si="69"/>
        <v>7888.328667219201</v>
      </c>
    </row>
    <row r="471" spans="2:14" ht="40.5" customHeight="1" thickTop="1">
      <c r="B471" s="7">
        <v>465</v>
      </c>
      <c r="C471" s="5" t="s">
        <v>650</v>
      </c>
      <c r="D471" s="5" t="s">
        <v>651</v>
      </c>
      <c r="E471" s="9">
        <v>1</v>
      </c>
      <c r="F471" s="9">
        <v>1</v>
      </c>
      <c r="G471" s="12">
        <f>1952.4384*E471*F471</f>
        <v>1952.4384</v>
      </c>
      <c r="H471" s="12">
        <f>19624.21065216*E471*F471</f>
        <v>19624.21065216</v>
      </c>
      <c r="I471" s="12">
        <f t="shared" si="67"/>
        <v>0</v>
      </c>
      <c r="J471" s="12">
        <f>1956.3432768*E471*F471</f>
        <v>1956.3432768</v>
      </c>
      <c r="K471" s="12">
        <f>4118.273657568*E471*F471</f>
        <v>4118.273657568</v>
      </c>
      <c r="L471" s="12">
        <f t="shared" si="68"/>
        <v>0</v>
      </c>
      <c r="M471" s="29">
        <f>N471/F471/E471/100</f>
        <v>276.51265986527994</v>
      </c>
      <c r="N471" s="14">
        <f t="shared" si="69"/>
        <v>27651.265986527997</v>
      </c>
    </row>
    <row r="474" ht="36" customHeight="1">
      <c r="C474" s="31" t="s">
        <v>1223</v>
      </c>
    </row>
    <row r="475" spans="3:14" ht="18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3:11" ht="19.5" customHeight="1">
      <c r="C476" s="32"/>
      <c r="D476" s="33"/>
      <c r="E476" s="34"/>
      <c r="F476" s="33"/>
      <c r="G476" s="32"/>
      <c r="H476" s="33"/>
      <c r="I476" s="33"/>
      <c r="J476" s="34"/>
      <c r="K476" s="33"/>
    </row>
    <row r="477" spans="3:11" ht="19.5" customHeight="1">
      <c r="C477" s="32"/>
      <c r="D477" s="33"/>
      <c r="E477" s="34"/>
      <c r="F477" s="33"/>
      <c r="G477" s="32"/>
      <c r="H477" s="33"/>
      <c r="I477" s="33"/>
      <c r="J477" s="34"/>
      <c r="K477" s="33"/>
    </row>
    <row r="478" spans="3:11" ht="19.5" customHeight="1">
      <c r="C478" s="32"/>
      <c r="D478" s="33"/>
      <c r="E478" s="34"/>
      <c r="F478" s="33"/>
      <c r="G478" s="32"/>
      <c r="H478" s="33"/>
      <c r="I478" s="33"/>
      <c r="J478" s="34"/>
      <c r="K478" s="33"/>
    </row>
    <row r="479" spans="3:11" ht="15">
      <c r="C479" s="15"/>
      <c r="E479" s="16"/>
      <c r="G479" s="32" t="s">
        <v>652</v>
      </c>
      <c r="H479" s="33"/>
      <c r="I479" s="33"/>
      <c r="J479" s="34" t="e">
        <f>#REF!</f>
        <v>#REF!</v>
      </c>
      <c r="K479" s="33"/>
    </row>
  </sheetData>
  <sheetProtection formatCells="0" formatColumns="0" formatRows="0" insertColumns="0" insertRows="0" insertHyperlinks="0" deleteColumns="0" deleteRows="0" sort="0" autoFilter="0" pivotTables="0"/>
  <mergeCells count="20">
    <mergeCell ref="B1:N1"/>
    <mergeCell ref="B4:N4"/>
    <mergeCell ref="B131:N131"/>
    <mergeCell ref="J478:K478"/>
    <mergeCell ref="B360:N360"/>
    <mergeCell ref="C475:N475"/>
    <mergeCell ref="C476:D476"/>
    <mergeCell ref="E476:F476"/>
    <mergeCell ref="G476:I476"/>
    <mergeCell ref="J476:K476"/>
    <mergeCell ref="G479:I479"/>
    <mergeCell ref="J479:K479"/>
    <mergeCell ref="B2:N2"/>
    <mergeCell ref="C477:D477"/>
    <mergeCell ref="E477:F477"/>
    <mergeCell ref="G477:I477"/>
    <mergeCell ref="J477:K477"/>
    <mergeCell ref="C478:D478"/>
    <mergeCell ref="E478:F478"/>
    <mergeCell ref="G478:I478"/>
  </mergeCells>
  <printOptions/>
  <pageMargins left="0.35433070866141736" right="0.35433070866141736" top="0.35433070866141736" bottom="0.35433070866141736" header="0.31496062992125984" footer="0.31496062992125984"/>
  <pageSetup fitToHeight="0" horizontalDpi="600" verticalDpi="600" orientation="portrait" paperSize="9" scale="8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0"/>
  <sheetViews>
    <sheetView workbookViewId="0" topLeftCell="B1">
      <selection activeCell="B550" sqref="B550:G55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8" t="s">
        <v>653</v>
      </c>
      <c r="C1" s="48"/>
      <c r="D1" s="48"/>
      <c r="E1" s="48"/>
      <c r="F1" s="48"/>
      <c r="G1" s="48"/>
    </row>
    <row r="3" spans="1:7" ht="27">
      <c r="A3" s="17"/>
      <c r="B3" s="18" t="s">
        <v>0</v>
      </c>
      <c r="C3" s="18" t="s">
        <v>654</v>
      </c>
      <c r="D3" s="18" t="s">
        <v>655</v>
      </c>
      <c r="E3" s="18" t="s">
        <v>3</v>
      </c>
      <c r="F3" s="18" t="s">
        <v>656</v>
      </c>
      <c r="G3" s="19" t="s">
        <v>11</v>
      </c>
    </row>
    <row r="4" spans="2:7" ht="16.5">
      <c r="B4" s="47" t="s">
        <v>657</v>
      </c>
      <c r="C4" s="47"/>
      <c r="D4" s="47"/>
      <c r="E4" s="47"/>
      <c r="F4" s="47"/>
      <c r="G4" s="47"/>
    </row>
    <row r="5" spans="2:7" ht="12">
      <c r="B5" s="20">
        <v>1</v>
      </c>
      <c r="C5" s="22" t="s">
        <v>658</v>
      </c>
      <c r="D5" s="22" t="s">
        <v>659</v>
      </c>
      <c r="E5" s="23">
        <v>4.85</v>
      </c>
      <c r="F5" s="24">
        <v>137.1414</v>
      </c>
      <c r="G5" s="26">
        <f aca="true" t="shared" si="0" ref="G5:G36">E5*F5</f>
        <v>665.1357899999999</v>
      </c>
    </row>
    <row r="6" spans="2:7" ht="12">
      <c r="B6" s="21">
        <v>2</v>
      </c>
      <c r="C6" s="5" t="s">
        <v>660</v>
      </c>
      <c r="D6" s="5" t="s">
        <v>659</v>
      </c>
      <c r="E6" s="10">
        <v>9.7</v>
      </c>
      <c r="F6" s="12">
        <v>148.7772</v>
      </c>
      <c r="G6" s="27">
        <f t="shared" si="0"/>
        <v>1443.1388399999998</v>
      </c>
    </row>
    <row r="7" spans="2:7" ht="12">
      <c r="B7" s="21">
        <v>3</v>
      </c>
      <c r="C7" s="5" t="s">
        <v>661</v>
      </c>
      <c r="D7" s="5" t="s">
        <v>659</v>
      </c>
      <c r="E7" s="10">
        <v>14.55</v>
      </c>
      <c r="F7" s="12">
        <v>162.7032</v>
      </c>
      <c r="G7" s="27">
        <f t="shared" si="0"/>
        <v>2367.33156</v>
      </c>
    </row>
    <row r="8" spans="2:7" ht="12">
      <c r="B8" s="21">
        <v>4</v>
      </c>
      <c r="C8" s="5" t="s">
        <v>662</v>
      </c>
      <c r="D8" s="5" t="s">
        <v>659</v>
      </c>
      <c r="E8" s="10">
        <v>4.85</v>
      </c>
      <c r="F8" s="12">
        <v>183.4932</v>
      </c>
      <c r="G8" s="27">
        <f t="shared" si="0"/>
        <v>889.94202</v>
      </c>
    </row>
    <row r="9" spans="2:7" ht="12">
      <c r="B9" s="21">
        <v>5</v>
      </c>
      <c r="C9" s="5" t="s">
        <v>663</v>
      </c>
      <c r="D9" s="5" t="s">
        <v>659</v>
      </c>
      <c r="E9" s="10">
        <v>286</v>
      </c>
      <c r="F9" s="12">
        <v>148.7772</v>
      </c>
      <c r="G9" s="27">
        <f t="shared" si="0"/>
        <v>42550.2792</v>
      </c>
    </row>
    <row r="10" spans="2:7" ht="12">
      <c r="B10" s="21">
        <v>6</v>
      </c>
      <c r="C10" s="5" t="s">
        <v>664</v>
      </c>
      <c r="D10" s="5" t="s">
        <v>659</v>
      </c>
      <c r="E10" s="10">
        <v>271.11</v>
      </c>
      <c r="F10" s="12">
        <v>162.7032</v>
      </c>
      <c r="G10" s="27">
        <f t="shared" si="0"/>
        <v>44110.464552000005</v>
      </c>
    </row>
    <row r="11" spans="2:7" ht="12">
      <c r="B11" s="21">
        <v>7</v>
      </c>
      <c r="C11" s="5" t="s">
        <v>665</v>
      </c>
      <c r="D11" s="5" t="s">
        <v>659</v>
      </c>
      <c r="E11" s="10">
        <v>100.46</v>
      </c>
      <c r="F11" s="12">
        <v>183.4932</v>
      </c>
      <c r="G11" s="27">
        <f t="shared" si="0"/>
        <v>18433.726872</v>
      </c>
    </row>
    <row r="12" spans="2:7" ht="12">
      <c r="B12" s="21">
        <v>8</v>
      </c>
      <c r="C12" s="5" t="s">
        <v>666</v>
      </c>
      <c r="D12" s="5" t="s">
        <v>659</v>
      </c>
      <c r="E12" s="10">
        <v>15554.9063</v>
      </c>
      <c r="F12" s="12">
        <v>137.1414</v>
      </c>
      <c r="G12" s="27">
        <f t="shared" si="0"/>
        <v>2133221.62685082</v>
      </c>
    </row>
    <row r="13" spans="2:7" ht="12">
      <c r="B13" s="21">
        <v>9</v>
      </c>
      <c r="C13" s="5" t="s">
        <v>667</v>
      </c>
      <c r="D13" s="5" t="s">
        <v>659</v>
      </c>
      <c r="E13" s="10">
        <v>119.06</v>
      </c>
      <c r="F13" s="12">
        <v>162.7032</v>
      </c>
      <c r="G13" s="27">
        <f t="shared" si="0"/>
        <v>19371.442992</v>
      </c>
    </row>
    <row r="14" spans="2:7" ht="12">
      <c r="B14" s="21">
        <v>10</v>
      </c>
      <c r="C14" s="5" t="s">
        <v>668</v>
      </c>
      <c r="D14" s="5" t="s">
        <v>659</v>
      </c>
      <c r="E14" s="10">
        <v>12</v>
      </c>
      <c r="F14" s="12">
        <v>162.7032</v>
      </c>
      <c r="G14" s="27">
        <f t="shared" si="0"/>
        <v>1952.4384</v>
      </c>
    </row>
    <row r="15" spans="2:7" ht="12">
      <c r="B15" s="21">
        <v>11</v>
      </c>
      <c r="C15" s="5" t="s">
        <v>669</v>
      </c>
      <c r="D15" s="5" t="s">
        <v>659</v>
      </c>
      <c r="E15" s="10">
        <v>292.995</v>
      </c>
      <c r="F15" s="12">
        <v>148.7772</v>
      </c>
      <c r="G15" s="27">
        <f t="shared" si="0"/>
        <v>43590.975714</v>
      </c>
    </row>
    <row r="16" spans="2:7" ht="12">
      <c r="B16" s="21">
        <v>12</v>
      </c>
      <c r="C16" s="5" t="s">
        <v>670</v>
      </c>
      <c r="D16" s="5" t="s">
        <v>659</v>
      </c>
      <c r="E16" s="10">
        <v>336.995</v>
      </c>
      <c r="F16" s="12">
        <v>162.7032</v>
      </c>
      <c r="G16" s="27">
        <f t="shared" si="0"/>
        <v>54830.164884000005</v>
      </c>
    </row>
    <row r="17" spans="2:7" ht="12">
      <c r="B17" s="21">
        <v>13</v>
      </c>
      <c r="C17" s="5" t="s">
        <v>671</v>
      </c>
      <c r="D17" s="5" t="s">
        <v>659</v>
      </c>
      <c r="E17" s="10">
        <v>211.65</v>
      </c>
      <c r="F17" s="12">
        <v>148.7772</v>
      </c>
      <c r="G17" s="27">
        <f t="shared" si="0"/>
        <v>31488.69438</v>
      </c>
    </row>
    <row r="18" spans="2:7" ht="12">
      <c r="B18" s="21">
        <v>14</v>
      </c>
      <c r="C18" s="5" t="s">
        <v>672</v>
      </c>
      <c r="D18" s="5" t="s">
        <v>659</v>
      </c>
      <c r="E18" s="10">
        <v>3.5</v>
      </c>
      <c r="F18" s="12">
        <v>162.7032</v>
      </c>
      <c r="G18" s="27">
        <f t="shared" si="0"/>
        <v>569.4612000000001</v>
      </c>
    </row>
    <row r="19" spans="2:7" ht="12">
      <c r="B19" s="21">
        <v>15</v>
      </c>
      <c r="C19" s="5" t="s">
        <v>673</v>
      </c>
      <c r="D19" s="5" t="s">
        <v>659</v>
      </c>
      <c r="E19" s="10">
        <v>1.09</v>
      </c>
      <c r="F19" s="12">
        <v>164.802</v>
      </c>
      <c r="G19" s="27">
        <f t="shared" si="0"/>
        <v>179.63418000000001</v>
      </c>
    </row>
    <row r="20" spans="2:7" ht="12">
      <c r="B20" s="21">
        <v>16</v>
      </c>
      <c r="C20" s="5" t="s">
        <v>674</v>
      </c>
      <c r="D20" s="5" t="s">
        <v>659</v>
      </c>
      <c r="E20" s="10">
        <v>717.47</v>
      </c>
      <c r="F20" s="25">
        <v>46.28</v>
      </c>
      <c r="G20" s="27">
        <f t="shared" si="0"/>
        <v>33204.511600000005</v>
      </c>
    </row>
    <row r="21" spans="2:7" ht="12">
      <c r="B21" s="21">
        <v>17</v>
      </c>
      <c r="C21" s="5" t="s">
        <v>675</v>
      </c>
      <c r="D21" s="5" t="s">
        <v>659</v>
      </c>
      <c r="E21" s="10">
        <v>130</v>
      </c>
      <c r="F21" s="12">
        <v>183.4932</v>
      </c>
      <c r="G21" s="27">
        <f t="shared" si="0"/>
        <v>23854.116</v>
      </c>
    </row>
    <row r="22" spans="2:7" ht="12">
      <c r="B22" s="21">
        <v>18</v>
      </c>
      <c r="C22" s="5" t="s">
        <v>676</v>
      </c>
      <c r="D22" s="5" t="s">
        <v>659</v>
      </c>
      <c r="E22" s="10">
        <v>0.6</v>
      </c>
      <c r="F22" s="12">
        <v>162.7032</v>
      </c>
      <c r="G22" s="27">
        <f t="shared" si="0"/>
        <v>97.62192</v>
      </c>
    </row>
    <row r="23" spans="2:7" ht="24">
      <c r="B23" s="21">
        <v>19</v>
      </c>
      <c r="C23" s="5" t="s">
        <v>677</v>
      </c>
      <c r="D23" s="5" t="s">
        <v>659</v>
      </c>
      <c r="E23" s="10">
        <v>44</v>
      </c>
      <c r="F23" s="12">
        <v>148.7772</v>
      </c>
      <c r="G23" s="27">
        <f t="shared" si="0"/>
        <v>6546.1968</v>
      </c>
    </row>
    <row r="24" spans="2:7" ht="24">
      <c r="B24" s="21">
        <v>20</v>
      </c>
      <c r="C24" s="5" t="s">
        <v>678</v>
      </c>
      <c r="D24" s="5" t="s">
        <v>659</v>
      </c>
      <c r="E24" s="10">
        <v>44</v>
      </c>
      <c r="F24" s="12">
        <v>162.7032</v>
      </c>
      <c r="G24" s="27">
        <f t="shared" si="0"/>
        <v>7158.9408</v>
      </c>
    </row>
    <row r="25" spans="2:7" ht="24">
      <c r="B25" s="21">
        <v>21</v>
      </c>
      <c r="C25" s="5" t="s">
        <v>679</v>
      </c>
      <c r="D25" s="5" t="s">
        <v>659</v>
      </c>
      <c r="E25" s="10">
        <v>5.4</v>
      </c>
      <c r="F25" s="12">
        <v>183.4932</v>
      </c>
      <c r="G25" s="27">
        <f t="shared" si="0"/>
        <v>990.86328</v>
      </c>
    </row>
    <row r="26" spans="2:7" ht="12">
      <c r="B26" s="21">
        <v>22</v>
      </c>
      <c r="C26" s="5" t="s">
        <v>680</v>
      </c>
      <c r="D26" s="5" t="s">
        <v>659</v>
      </c>
      <c r="E26" s="10">
        <v>515.07166667</v>
      </c>
      <c r="F26" s="12">
        <v>148.7772</v>
      </c>
      <c r="G26" s="27">
        <f t="shared" si="0"/>
        <v>76630.92036649592</v>
      </c>
    </row>
    <row r="27" spans="2:7" ht="12">
      <c r="B27" s="21">
        <v>23</v>
      </c>
      <c r="C27" s="5" t="s">
        <v>681</v>
      </c>
      <c r="D27" s="5" t="s">
        <v>659</v>
      </c>
      <c r="E27" s="10">
        <v>681.49166667</v>
      </c>
      <c r="F27" s="12">
        <v>162.7032</v>
      </c>
      <c r="G27" s="27">
        <f t="shared" si="0"/>
        <v>110880.87494054234</v>
      </c>
    </row>
    <row r="28" spans="2:7" ht="12">
      <c r="B28" s="21">
        <v>24</v>
      </c>
      <c r="C28" s="5" t="s">
        <v>682</v>
      </c>
      <c r="D28" s="5" t="s">
        <v>659</v>
      </c>
      <c r="E28" s="10">
        <v>136.5</v>
      </c>
      <c r="F28" s="12">
        <v>183.4932</v>
      </c>
      <c r="G28" s="27">
        <f t="shared" si="0"/>
        <v>25046.8218</v>
      </c>
    </row>
    <row r="29" spans="2:7" ht="12">
      <c r="B29" s="21">
        <v>25</v>
      </c>
      <c r="C29" s="5" t="s">
        <v>683</v>
      </c>
      <c r="D29" s="5" t="s">
        <v>659</v>
      </c>
      <c r="E29" s="10">
        <v>737.954</v>
      </c>
      <c r="F29" s="12">
        <v>148.7772</v>
      </c>
      <c r="G29" s="27">
        <f t="shared" si="0"/>
        <v>109790.7298488</v>
      </c>
    </row>
    <row r="30" spans="2:7" ht="12">
      <c r="B30" s="21">
        <v>26</v>
      </c>
      <c r="C30" s="5" t="s">
        <v>684</v>
      </c>
      <c r="D30" s="5" t="s">
        <v>659</v>
      </c>
      <c r="E30" s="10">
        <v>574.936</v>
      </c>
      <c r="F30" s="12">
        <v>162.7032</v>
      </c>
      <c r="G30" s="27">
        <f t="shared" si="0"/>
        <v>93543.92699520002</v>
      </c>
    </row>
    <row r="31" spans="2:7" ht="12">
      <c r="B31" s="21">
        <v>27</v>
      </c>
      <c r="C31" s="5" t="s">
        <v>685</v>
      </c>
      <c r="D31" s="5" t="s">
        <v>659</v>
      </c>
      <c r="E31" s="10">
        <v>16.87</v>
      </c>
      <c r="F31" s="12">
        <v>164.802</v>
      </c>
      <c r="G31" s="27">
        <f t="shared" si="0"/>
        <v>2780.2097400000002</v>
      </c>
    </row>
    <row r="32" spans="2:7" ht="12">
      <c r="B32" s="21">
        <v>28</v>
      </c>
      <c r="C32" s="5" t="s">
        <v>686</v>
      </c>
      <c r="D32" s="5" t="s">
        <v>659</v>
      </c>
      <c r="E32" s="10">
        <v>76.49</v>
      </c>
      <c r="F32" s="12">
        <v>168.99300000000002</v>
      </c>
      <c r="G32" s="27">
        <f t="shared" si="0"/>
        <v>12926.274570000001</v>
      </c>
    </row>
    <row r="33" spans="2:7" ht="12">
      <c r="B33" s="21">
        <v>29</v>
      </c>
      <c r="C33" s="5" t="s">
        <v>687</v>
      </c>
      <c r="D33" s="5" t="s">
        <v>659</v>
      </c>
      <c r="E33" s="10">
        <v>261.53</v>
      </c>
      <c r="F33" s="12">
        <v>183.4932</v>
      </c>
      <c r="G33" s="27">
        <f t="shared" si="0"/>
        <v>47988.97659599999</v>
      </c>
    </row>
    <row r="34" spans="2:7" ht="12">
      <c r="B34" s="21">
        <v>30</v>
      </c>
      <c r="C34" s="5" t="s">
        <v>688</v>
      </c>
      <c r="D34" s="5" t="s">
        <v>659</v>
      </c>
      <c r="E34" s="10">
        <v>94.74</v>
      </c>
      <c r="F34" s="12">
        <v>211.53</v>
      </c>
      <c r="G34" s="27">
        <f t="shared" si="0"/>
        <v>20040.352199999998</v>
      </c>
    </row>
    <row r="35" spans="2:7" ht="12">
      <c r="B35" s="21">
        <v>31</v>
      </c>
      <c r="C35" s="5" t="s">
        <v>689</v>
      </c>
      <c r="D35" s="5" t="s">
        <v>659</v>
      </c>
      <c r="E35" s="10">
        <v>0.2</v>
      </c>
      <c r="F35" s="12">
        <v>162.7032</v>
      </c>
      <c r="G35" s="27">
        <f t="shared" si="0"/>
        <v>32.54064</v>
      </c>
    </row>
    <row r="36" spans="2:7" ht="12">
      <c r="B36" s="21">
        <v>32</v>
      </c>
      <c r="C36" s="5" t="s">
        <v>690</v>
      </c>
      <c r="D36" s="5" t="s">
        <v>659</v>
      </c>
      <c r="E36" s="10">
        <v>91.77</v>
      </c>
      <c r="F36" s="12">
        <v>183.4932</v>
      </c>
      <c r="G36" s="27">
        <f t="shared" si="0"/>
        <v>16839.170964</v>
      </c>
    </row>
    <row r="37" spans="2:7" ht="12">
      <c r="B37" s="21">
        <v>33</v>
      </c>
      <c r="C37" s="5" t="s">
        <v>691</v>
      </c>
      <c r="D37" s="5" t="s">
        <v>659</v>
      </c>
      <c r="E37" s="10">
        <v>52</v>
      </c>
      <c r="F37" s="12">
        <v>211.53</v>
      </c>
      <c r="G37" s="27">
        <f aca="true" t="shared" si="1" ref="G37:G68">E37*F37</f>
        <v>10999.56</v>
      </c>
    </row>
    <row r="38" spans="2:7" ht="12">
      <c r="B38" s="21">
        <v>34</v>
      </c>
      <c r="C38" s="5" t="s">
        <v>692</v>
      </c>
      <c r="D38" s="5" t="s">
        <v>659</v>
      </c>
      <c r="E38" s="10">
        <v>37.31</v>
      </c>
      <c r="F38" s="12">
        <v>246.4374</v>
      </c>
      <c r="G38" s="27">
        <f t="shared" si="1"/>
        <v>9194.579394</v>
      </c>
    </row>
    <row r="39" spans="2:7" ht="24">
      <c r="B39" s="21">
        <v>35</v>
      </c>
      <c r="C39" s="5" t="s">
        <v>693</v>
      </c>
      <c r="D39" s="5" t="s">
        <v>659</v>
      </c>
      <c r="E39" s="10">
        <v>10.5</v>
      </c>
      <c r="F39" s="12">
        <v>183.4932</v>
      </c>
      <c r="G39" s="27">
        <f t="shared" si="1"/>
        <v>1926.6786</v>
      </c>
    </row>
    <row r="40" spans="2:7" ht="24">
      <c r="B40" s="21">
        <v>36</v>
      </c>
      <c r="C40" s="5" t="s">
        <v>694</v>
      </c>
      <c r="D40" s="5" t="s">
        <v>659</v>
      </c>
      <c r="E40" s="10">
        <v>1.3</v>
      </c>
      <c r="F40" s="12">
        <v>517.5192000000001</v>
      </c>
      <c r="G40" s="27">
        <f t="shared" si="1"/>
        <v>672.7749600000001</v>
      </c>
    </row>
    <row r="41" spans="2:7" ht="12">
      <c r="B41" s="21">
        <v>37</v>
      </c>
      <c r="C41" s="5" t="s">
        <v>695</v>
      </c>
      <c r="D41" s="5" t="s">
        <v>659</v>
      </c>
      <c r="E41" s="10">
        <v>0.275</v>
      </c>
      <c r="F41" s="12">
        <v>148.7772</v>
      </c>
      <c r="G41" s="27">
        <f t="shared" si="1"/>
        <v>40.91373</v>
      </c>
    </row>
    <row r="42" spans="2:7" ht="12">
      <c r="B42" s="21">
        <v>38</v>
      </c>
      <c r="C42" s="5" t="s">
        <v>696</v>
      </c>
      <c r="D42" s="5" t="s">
        <v>659</v>
      </c>
      <c r="E42" s="10">
        <v>0.275</v>
      </c>
      <c r="F42" s="12">
        <v>211.53</v>
      </c>
      <c r="G42" s="27">
        <f t="shared" si="1"/>
        <v>58.170750000000005</v>
      </c>
    </row>
    <row r="43" spans="2:7" ht="12">
      <c r="B43" s="21">
        <v>39</v>
      </c>
      <c r="C43" s="5" t="s">
        <v>697</v>
      </c>
      <c r="D43" s="5" t="s">
        <v>659</v>
      </c>
      <c r="E43" s="10">
        <v>1.23</v>
      </c>
      <c r="F43" s="12">
        <v>162.7032</v>
      </c>
      <c r="G43" s="27">
        <f t="shared" si="1"/>
        <v>200.12493600000002</v>
      </c>
    </row>
    <row r="44" spans="2:7" ht="12">
      <c r="B44" s="21">
        <v>40</v>
      </c>
      <c r="C44" s="5" t="s">
        <v>698</v>
      </c>
      <c r="D44" s="5" t="s">
        <v>659</v>
      </c>
      <c r="E44" s="10">
        <v>48.84</v>
      </c>
      <c r="F44" s="12">
        <v>164.802</v>
      </c>
      <c r="G44" s="27">
        <f t="shared" si="1"/>
        <v>8048.92968</v>
      </c>
    </row>
    <row r="45" spans="2:7" ht="12">
      <c r="B45" s="21">
        <v>41</v>
      </c>
      <c r="C45" s="5" t="s">
        <v>699</v>
      </c>
      <c r="D45" s="5" t="s">
        <v>659</v>
      </c>
      <c r="E45" s="10">
        <v>9.2</v>
      </c>
      <c r="F45" s="12">
        <v>148.7772</v>
      </c>
      <c r="G45" s="27">
        <f t="shared" si="1"/>
        <v>1368.7502399999998</v>
      </c>
    </row>
    <row r="46" spans="2:7" ht="12">
      <c r="B46" s="21">
        <v>42</v>
      </c>
      <c r="C46" s="5" t="s">
        <v>700</v>
      </c>
      <c r="D46" s="5" t="s">
        <v>659</v>
      </c>
      <c r="E46" s="10">
        <v>210.95</v>
      </c>
      <c r="F46" s="12">
        <v>162.7032</v>
      </c>
      <c r="G46" s="27">
        <f t="shared" si="1"/>
        <v>34322.24004</v>
      </c>
    </row>
    <row r="47" spans="2:7" ht="12">
      <c r="B47" s="21">
        <v>43</v>
      </c>
      <c r="C47" s="5" t="s">
        <v>701</v>
      </c>
      <c r="D47" s="5" t="s">
        <v>659</v>
      </c>
      <c r="E47" s="10">
        <v>14.4</v>
      </c>
      <c r="F47" s="12">
        <v>183.4932</v>
      </c>
      <c r="G47" s="27">
        <f t="shared" si="1"/>
        <v>2642.30208</v>
      </c>
    </row>
    <row r="48" spans="2:7" ht="12">
      <c r="B48" s="21">
        <v>44</v>
      </c>
      <c r="C48" s="5" t="s">
        <v>702</v>
      </c>
      <c r="D48" s="5" t="s">
        <v>659</v>
      </c>
      <c r="E48" s="10">
        <v>11.33333334</v>
      </c>
      <c r="F48" s="12">
        <v>137.1414</v>
      </c>
      <c r="G48" s="27">
        <f t="shared" si="1"/>
        <v>1554.2692009142759</v>
      </c>
    </row>
    <row r="49" spans="2:7" ht="12">
      <c r="B49" s="21">
        <v>45</v>
      </c>
      <c r="C49" s="5" t="s">
        <v>703</v>
      </c>
      <c r="D49" s="5" t="s">
        <v>659</v>
      </c>
      <c r="E49" s="10">
        <v>124.05</v>
      </c>
      <c r="F49" s="12">
        <v>162.7032</v>
      </c>
      <c r="G49" s="27">
        <f t="shared" si="1"/>
        <v>20183.33196</v>
      </c>
    </row>
    <row r="50" spans="2:7" ht="12">
      <c r="B50" s="21">
        <v>46</v>
      </c>
      <c r="C50" s="5" t="s">
        <v>704</v>
      </c>
      <c r="D50" s="5" t="s">
        <v>659</v>
      </c>
      <c r="E50" s="10">
        <v>98.51</v>
      </c>
      <c r="F50" s="25">
        <v>1547.42</v>
      </c>
      <c r="G50" s="27">
        <f t="shared" si="1"/>
        <v>152436.34420000002</v>
      </c>
    </row>
    <row r="51" spans="2:7" ht="12">
      <c r="B51" s="21">
        <v>47</v>
      </c>
      <c r="C51" s="5" t="s">
        <v>705</v>
      </c>
      <c r="D51" s="5" t="s">
        <v>659</v>
      </c>
      <c r="E51" s="10">
        <v>311</v>
      </c>
      <c r="F51" s="25">
        <v>1547.42</v>
      </c>
      <c r="G51" s="27">
        <f t="shared" si="1"/>
        <v>481247.62</v>
      </c>
    </row>
    <row r="52" spans="2:7" ht="24">
      <c r="B52" s="21">
        <v>48</v>
      </c>
      <c r="C52" s="5" t="s">
        <v>706</v>
      </c>
      <c r="D52" s="5" t="s">
        <v>659</v>
      </c>
      <c r="E52" s="10">
        <v>0.86666666</v>
      </c>
      <c r="F52" s="12">
        <v>148.7772</v>
      </c>
      <c r="G52" s="27">
        <f t="shared" si="1"/>
        <v>128.940239008152</v>
      </c>
    </row>
    <row r="53" spans="2:7" ht="24">
      <c r="B53" s="21">
        <v>49</v>
      </c>
      <c r="C53" s="5" t="s">
        <v>707</v>
      </c>
      <c r="D53" s="5" t="s">
        <v>659</v>
      </c>
      <c r="E53" s="10">
        <v>108.2</v>
      </c>
      <c r="F53" s="12">
        <v>162.7032</v>
      </c>
      <c r="G53" s="27">
        <f t="shared" si="1"/>
        <v>17604.486240000002</v>
      </c>
    </row>
    <row r="54" spans="2:7" ht="24">
      <c r="B54" s="21">
        <v>50</v>
      </c>
      <c r="C54" s="5" t="s">
        <v>708</v>
      </c>
      <c r="D54" s="5" t="s">
        <v>659</v>
      </c>
      <c r="E54" s="10">
        <v>4</v>
      </c>
      <c r="F54" s="12">
        <v>183.4932</v>
      </c>
      <c r="G54" s="27">
        <f t="shared" si="1"/>
        <v>733.9728</v>
      </c>
    </row>
    <row r="55" spans="2:7" ht="24">
      <c r="B55" s="21">
        <v>51</v>
      </c>
      <c r="C55" s="5" t="s">
        <v>709</v>
      </c>
      <c r="D55" s="5" t="s">
        <v>659</v>
      </c>
      <c r="E55" s="10">
        <v>17</v>
      </c>
      <c r="F55" s="12">
        <v>162.7032</v>
      </c>
      <c r="G55" s="27">
        <f t="shared" si="1"/>
        <v>2765.9544</v>
      </c>
    </row>
    <row r="56" spans="2:7" ht="24">
      <c r="B56" s="21">
        <v>52</v>
      </c>
      <c r="C56" s="5" t="s">
        <v>710</v>
      </c>
      <c r="D56" s="5" t="s">
        <v>659</v>
      </c>
      <c r="E56" s="10">
        <v>2.05</v>
      </c>
      <c r="F56" s="12">
        <v>162.7032</v>
      </c>
      <c r="G56" s="27">
        <f t="shared" si="1"/>
        <v>333.54156</v>
      </c>
    </row>
    <row r="57" spans="2:7" ht="24">
      <c r="B57" s="21">
        <v>53</v>
      </c>
      <c r="C57" s="5" t="s">
        <v>711</v>
      </c>
      <c r="D57" s="5" t="s">
        <v>659</v>
      </c>
      <c r="E57" s="10">
        <v>2.05</v>
      </c>
      <c r="F57" s="12">
        <v>183.4932</v>
      </c>
      <c r="G57" s="27">
        <f t="shared" si="1"/>
        <v>376.16105999999996</v>
      </c>
    </row>
    <row r="58" spans="2:7" ht="24">
      <c r="B58" s="21">
        <v>54</v>
      </c>
      <c r="C58" s="5" t="s">
        <v>712</v>
      </c>
      <c r="D58" s="5" t="s">
        <v>659</v>
      </c>
      <c r="E58" s="10">
        <v>2.05</v>
      </c>
      <c r="F58" s="12">
        <v>211.53</v>
      </c>
      <c r="G58" s="27">
        <f t="shared" si="1"/>
        <v>433.63649999999996</v>
      </c>
    </row>
    <row r="59" spans="2:7" ht="24">
      <c r="B59" s="21">
        <v>55</v>
      </c>
      <c r="C59" s="5" t="s">
        <v>713</v>
      </c>
      <c r="D59" s="5" t="s">
        <v>659</v>
      </c>
      <c r="E59" s="10">
        <v>2.05</v>
      </c>
      <c r="F59" s="12">
        <v>246.4374</v>
      </c>
      <c r="G59" s="27">
        <f t="shared" si="1"/>
        <v>505.1966699999999</v>
      </c>
    </row>
    <row r="60" spans="2:7" ht="24">
      <c r="B60" s="21">
        <v>56</v>
      </c>
      <c r="C60" s="5" t="s">
        <v>714</v>
      </c>
      <c r="D60" s="5" t="s">
        <v>659</v>
      </c>
      <c r="E60" s="10">
        <v>2241.1</v>
      </c>
      <c r="F60" s="25">
        <v>37.42</v>
      </c>
      <c r="G60" s="27">
        <f t="shared" si="1"/>
        <v>83861.962</v>
      </c>
    </row>
    <row r="61" spans="2:7" ht="12">
      <c r="B61" s="21">
        <v>57</v>
      </c>
      <c r="C61" s="5" t="s">
        <v>715</v>
      </c>
      <c r="D61" s="5" t="s">
        <v>659</v>
      </c>
      <c r="E61" s="10">
        <v>60.82365</v>
      </c>
      <c r="F61" s="12">
        <v>162.7032</v>
      </c>
      <c r="G61" s="27">
        <f t="shared" si="1"/>
        <v>9896.202490680002</v>
      </c>
    </row>
    <row r="62" spans="2:7" ht="12">
      <c r="B62" s="21">
        <v>58</v>
      </c>
      <c r="C62" s="5" t="s">
        <v>716</v>
      </c>
      <c r="D62" s="5" t="s">
        <v>659</v>
      </c>
      <c r="E62" s="10">
        <v>8.2</v>
      </c>
      <c r="F62" s="12">
        <v>162.7032</v>
      </c>
      <c r="G62" s="27">
        <f t="shared" si="1"/>
        <v>1334.16624</v>
      </c>
    </row>
    <row r="63" spans="2:7" ht="12">
      <c r="B63" s="21">
        <v>59</v>
      </c>
      <c r="C63" s="5" t="s">
        <v>717</v>
      </c>
      <c r="D63" s="5" t="s">
        <v>659</v>
      </c>
      <c r="E63" s="10">
        <v>2660.49011722</v>
      </c>
      <c r="F63" s="12">
        <v>148.7772</v>
      </c>
      <c r="G63" s="27">
        <f t="shared" si="1"/>
        <v>395820.27026766335</v>
      </c>
    </row>
    <row r="64" spans="2:7" ht="12">
      <c r="B64" s="21">
        <v>60</v>
      </c>
      <c r="C64" s="5" t="s">
        <v>718</v>
      </c>
      <c r="D64" s="5" t="s">
        <v>659</v>
      </c>
      <c r="E64" s="10">
        <v>4015.80833333</v>
      </c>
      <c r="F64" s="12">
        <v>162.7032</v>
      </c>
      <c r="G64" s="27">
        <f t="shared" si="1"/>
        <v>653384.8664194577</v>
      </c>
    </row>
    <row r="65" spans="2:7" ht="12">
      <c r="B65" s="21">
        <v>61</v>
      </c>
      <c r="C65" s="5" t="s">
        <v>719</v>
      </c>
      <c r="D65" s="5" t="s">
        <v>659</v>
      </c>
      <c r="E65" s="10">
        <v>7942.45</v>
      </c>
      <c r="F65" s="25">
        <v>27.7</v>
      </c>
      <c r="G65" s="27">
        <f t="shared" si="1"/>
        <v>220005.865</v>
      </c>
    </row>
    <row r="66" spans="2:7" ht="12">
      <c r="B66" s="21">
        <v>62</v>
      </c>
      <c r="C66" s="5" t="s">
        <v>720</v>
      </c>
      <c r="D66" s="5" t="s">
        <v>659</v>
      </c>
      <c r="E66" s="10">
        <v>1859.58333333</v>
      </c>
      <c r="F66" s="12">
        <v>211.53</v>
      </c>
      <c r="G66" s="27">
        <f t="shared" si="1"/>
        <v>393357.6624992949</v>
      </c>
    </row>
    <row r="67" spans="2:7" ht="12">
      <c r="B67" s="21">
        <v>63</v>
      </c>
      <c r="C67" s="5" t="s">
        <v>721</v>
      </c>
      <c r="D67" s="5" t="s">
        <v>659</v>
      </c>
      <c r="E67" s="10">
        <v>2.56333333</v>
      </c>
      <c r="F67" s="12">
        <v>246.4374</v>
      </c>
      <c r="G67" s="27">
        <f t="shared" si="1"/>
        <v>631.701201178542</v>
      </c>
    </row>
    <row r="68" spans="2:7" ht="12">
      <c r="B68" s="21">
        <v>64</v>
      </c>
      <c r="C68" s="5" t="s">
        <v>722</v>
      </c>
      <c r="D68" s="5" t="s">
        <v>659</v>
      </c>
      <c r="E68" s="10">
        <v>57.5</v>
      </c>
      <c r="F68" s="12">
        <v>148.7772</v>
      </c>
      <c r="G68" s="27">
        <f t="shared" si="1"/>
        <v>8554.689</v>
      </c>
    </row>
    <row r="69" spans="2:7" ht="12">
      <c r="B69" s="21">
        <v>65</v>
      </c>
      <c r="C69" s="5" t="s">
        <v>723</v>
      </c>
      <c r="D69" s="5" t="s">
        <v>659</v>
      </c>
      <c r="E69" s="10">
        <v>57.5</v>
      </c>
      <c r="F69" s="12">
        <v>162.7032</v>
      </c>
      <c r="G69" s="27">
        <f aca="true" t="shared" si="2" ref="G69:G94">E69*F69</f>
        <v>9355.434000000001</v>
      </c>
    </row>
    <row r="70" spans="2:7" ht="12">
      <c r="B70" s="21">
        <v>66</v>
      </c>
      <c r="C70" s="5" t="s">
        <v>724</v>
      </c>
      <c r="D70" s="5" t="s">
        <v>659</v>
      </c>
      <c r="E70" s="10">
        <v>288</v>
      </c>
      <c r="F70" s="12">
        <v>164.802</v>
      </c>
      <c r="G70" s="27">
        <f t="shared" si="2"/>
        <v>47462.975999999995</v>
      </c>
    </row>
    <row r="71" spans="2:7" ht="12">
      <c r="B71" s="21">
        <v>67</v>
      </c>
      <c r="C71" s="5" t="s">
        <v>725</v>
      </c>
      <c r="D71" s="5" t="s">
        <v>659</v>
      </c>
      <c r="E71" s="10">
        <v>79.79</v>
      </c>
      <c r="F71" s="12">
        <v>155.8326</v>
      </c>
      <c r="G71" s="27">
        <f t="shared" si="2"/>
        <v>12433.883154000003</v>
      </c>
    </row>
    <row r="72" spans="2:7" ht="12">
      <c r="B72" s="21">
        <v>68</v>
      </c>
      <c r="C72" s="5" t="s">
        <v>726</v>
      </c>
      <c r="D72" s="5" t="s">
        <v>659</v>
      </c>
      <c r="E72" s="10">
        <v>702.182</v>
      </c>
      <c r="F72" s="12">
        <v>162.7032</v>
      </c>
      <c r="G72" s="27">
        <f t="shared" si="2"/>
        <v>114247.2583824</v>
      </c>
    </row>
    <row r="73" spans="2:7" ht="12">
      <c r="B73" s="21">
        <v>69</v>
      </c>
      <c r="C73" s="5" t="s">
        <v>727</v>
      </c>
      <c r="D73" s="5" t="s">
        <v>659</v>
      </c>
      <c r="E73" s="10">
        <v>64.84</v>
      </c>
      <c r="F73" s="12">
        <v>171.0918</v>
      </c>
      <c r="G73" s="27">
        <f t="shared" si="2"/>
        <v>11093.592312</v>
      </c>
    </row>
    <row r="74" spans="2:7" ht="12">
      <c r="B74" s="21">
        <v>70</v>
      </c>
      <c r="C74" s="5" t="s">
        <v>728</v>
      </c>
      <c r="D74" s="5" t="s">
        <v>659</v>
      </c>
      <c r="E74" s="10">
        <v>30.44</v>
      </c>
      <c r="F74" s="12">
        <v>175.098</v>
      </c>
      <c r="G74" s="27">
        <f t="shared" si="2"/>
        <v>5329.983120000001</v>
      </c>
    </row>
    <row r="75" spans="2:7" ht="12">
      <c r="B75" s="21">
        <v>71</v>
      </c>
      <c r="C75" s="5" t="s">
        <v>729</v>
      </c>
      <c r="D75" s="5" t="s">
        <v>659</v>
      </c>
      <c r="E75" s="10">
        <v>464</v>
      </c>
      <c r="F75" s="12">
        <v>181.3944</v>
      </c>
      <c r="G75" s="27">
        <f t="shared" si="2"/>
        <v>84167.00159999999</v>
      </c>
    </row>
    <row r="76" spans="2:7" ht="12">
      <c r="B76" s="21">
        <v>72</v>
      </c>
      <c r="C76" s="5" t="s">
        <v>730</v>
      </c>
      <c r="D76" s="5" t="s">
        <v>659</v>
      </c>
      <c r="E76" s="10">
        <v>247.64</v>
      </c>
      <c r="F76" s="12">
        <v>183.4932</v>
      </c>
      <c r="G76" s="27">
        <f t="shared" si="2"/>
        <v>45440.256047999996</v>
      </c>
    </row>
    <row r="77" spans="2:7" ht="12">
      <c r="B77" s="21">
        <v>73</v>
      </c>
      <c r="C77" s="5" t="s">
        <v>731</v>
      </c>
      <c r="D77" s="5" t="s">
        <v>659</v>
      </c>
      <c r="E77" s="10">
        <v>1.11</v>
      </c>
      <c r="F77" s="12">
        <v>189.21540000000002</v>
      </c>
      <c r="G77" s="27">
        <f t="shared" si="2"/>
        <v>210.02909400000004</v>
      </c>
    </row>
    <row r="78" spans="2:7" ht="12">
      <c r="B78" s="21">
        <v>74</v>
      </c>
      <c r="C78" s="5" t="s">
        <v>732</v>
      </c>
      <c r="D78" s="5" t="s">
        <v>659</v>
      </c>
      <c r="E78" s="10">
        <v>673</v>
      </c>
      <c r="F78" s="12">
        <v>211.53</v>
      </c>
      <c r="G78" s="27">
        <f t="shared" si="2"/>
        <v>142359.69</v>
      </c>
    </row>
    <row r="79" spans="2:7" ht="12">
      <c r="B79" s="21">
        <v>75</v>
      </c>
      <c r="C79" s="5" t="s">
        <v>733</v>
      </c>
      <c r="D79" s="5" t="s">
        <v>659</v>
      </c>
      <c r="E79" s="10">
        <v>699.44666667</v>
      </c>
      <c r="F79" s="12">
        <v>137.1414</v>
      </c>
      <c r="G79" s="27">
        <f t="shared" si="2"/>
        <v>95923.09509245714</v>
      </c>
    </row>
    <row r="80" spans="2:7" ht="12">
      <c r="B80" s="21">
        <v>76</v>
      </c>
      <c r="C80" s="5" t="s">
        <v>734</v>
      </c>
      <c r="D80" s="5" t="s">
        <v>659</v>
      </c>
      <c r="E80" s="10">
        <v>394.2315</v>
      </c>
      <c r="F80" s="12">
        <v>148.7772</v>
      </c>
      <c r="G80" s="27">
        <f t="shared" si="2"/>
        <v>58652.65872179999</v>
      </c>
    </row>
    <row r="81" spans="2:7" ht="12">
      <c r="B81" s="21">
        <v>77</v>
      </c>
      <c r="C81" s="5" t="s">
        <v>735</v>
      </c>
      <c r="D81" s="5" t="s">
        <v>659</v>
      </c>
      <c r="E81" s="10">
        <v>4.48</v>
      </c>
      <c r="F81" s="12">
        <v>183.4932</v>
      </c>
      <c r="G81" s="27">
        <f t="shared" si="2"/>
        <v>822.0495360000001</v>
      </c>
    </row>
    <row r="82" spans="2:7" ht="12">
      <c r="B82" s="21">
        <v>78</v>
      </c>
      <c r="C82" s="5" t="s">
        <v>736</v>
      </c>
      <c r="D82" s="5" t="s">
        <v>659</v>
      </c>
      <c r="E82" s="10">
        <v>480.895</v>
      </c>
      <c r="F82" s="12">
        <v>148.7772</v>
      </c>
      <c r="G82" s="27">
        <f t="shared" si="2"/>
        <v>71546.211594</v>
      </c>
    </row>
    <row r="83" spans="2:7" ht="12">
      <c r="B83" s="21">
        <v>79</v>
      </c>
      <c r="C83" s="5" t="s">
        <v>737</v>
      </c>
      <c r="D83" s="5" t="s">
        <v>659</v>
      </c>
      <c r="E83" s="10">
        <v>700.205</v>
      </c>
      <c r="F83" s="12">
        <v>162.7032</v>
      </c>
      <c r="G83" s="27">
        <f t="shared" si="2"/>
        <v>113925.594156</v>
      </c>
    </row>
    <row r="84" spans="2:7" ht="12">
      <c r="B84" s="21">
        <v>80</v>
      </c>
      <c r="C84" s="5" t="s">
        <v>738</v>
      </c>
      <c r="D84" s="5" t="s">
        <v>659</v>
      </c>
      <c r="E84" s="10">
        <v>383.06</v>
      </c>
      <c r="F84" s="12">
        <v>171.0918</v>
      </c>
      <c r="G84" s="27">
        <f t="shared" si="2"/>
        <v>65538.424908</v>
      </c>
    </row>
    <row r="85" spans="2:7" ht="12">
      <c r="B85" s="21">
        <v>81</v>
      </c>
      <c r="C85" s="5" t="s">
        <v>739</v>
      </c>
      <c r="D85" s="5" t="s">
        <v>659</v>
      </c>
      <c r="E85" s="10">
        <v>503.65</v>
      </c>
      <c r="F85" s="12">
        <v>183.4932</v>
      </c>
      <c r="G85" s="27">
        <f t="shared" si="2"/>
        <v>92416.35018</v>
      </c>
    </row>
    <row r="86" spans="2:7" ht="12">
      <c r="B86" s="21">
        <v>82</v>
      </c>
      <c r="C86" s="5" t="s">
        <v>740</v>
      </c>
      <c r="D86" s="5" t="s">
        <v>659</v>
      </c>
      <c r="E86" s="10">
        <v>130</v>
      </c>
      <c r="F86" s="12">
        <v>211.53</v>
      </c>
      <c r="G86" s="27">
        <f t="shared" si="2"/>
        <v>27498.9</v>
      </c>
    </row>
    <row r="87" spans="2:7" ht="12">
      <c r="B87" s="21">
        <v>83</v>
      </c>
      <c r="C87" s="5" t="s">
        <v>741</v>
      </c>
      <c r="D87" s="5" t="s">
        <v>659</v>
      </c>
      <c r="E87" s="10">
        <v>7.75</v>
      </c>
      <c r="F87" s="12">
        <v>148.7772</v>
      </c>
      <c r="G87" s="27">
        <f t="shared" si="2"/>
        <v>1153.0232999999998</v>
      </c>
    </row>
    <row r="88" spans="2:7" ht="12">
      <c r="B88" s="21">
        <v>84</v>
      </c>
      <c r="C88" s="5" t="s">
        <v>742</v>
      </c>
      <c r="D88" s="5" t="s">
        <v>659</v>
      </c>
      <c r="E88" s="10">
        <v>3.03</v>
      </c>
      <c r="F88" s="12">
        <v>162.7032</v>
      </c>
      <c r="G88" s="27">
        <f t="shared" si="2"/>
        <v>492.990696</v>
      </c>
    </row>
    <row r="89" spans="2:7" ht="12">
      <c r="B89" s="21">
        <v>85</v>
      </c>
      <c r="C89" s="5" t="s">
        <v>743</v>
      </c>
      <c r="D89" s="5" t="s">
        <v>659</v>
      </c>
      <c r="E89" s="10">
        <v>677.22511722</v>
      </c>
      <c r="F89" s="12">
        <v>183.4932</v>
      </c>
      <c r="G89" s="27">
        <f t="shared" si="2"/>
        <v>124266.20387907291</v>
      </c>
    </row>
    <row r="90" spans="2:7" ht="24">
      <c r="B90" s="21">
        <v>86</v>
      </c>
      <c r="C90" s="5" t="s">
        <v>744</v>
      </c>
      <c r="D90" s="5" t="s">
        <v>745</v>
      </c>
      <c r="E90" s="10">
        <v>2247.24</v>
      </c>
      <c r="F90" s="25">
        <v>37.42</v>
      </c>
      <c r="G90" s="27">
        <f t="shared" si="2"/>
        <v>84091.7208</v>
      </c>
    </row>
    <row r="91" spans="2:7" ht="12">
      <c r="B91" s="21">
        <v>87</v>
      </c>
      <c r="C91" s="5" t="s">
        <v>746</v>
      </c>
      <c r="D91" s="5" t="s">
        <v>659</v>
      </c>
      <c r="E91" s="10">
        <v>7.12</v>
      </c>
      <c r="F91" s="12">
        <v>246.4374</v>
      </c>
      <c r="G91" s="27">
        <f t="shared" si="2"/>
        <v>1754.634288</v>
      </c>
    </row>
    <row r="92" spans="2:7" ht="24">
      <c r="B92" s="21">
        <v>88</v>
      </c>
      <c r="C92" s="5" t="s">
        <v>747</v>
      </c>
      <c r="D92" s="5" t="s">
        <v>659</v>
      </c>
      <c r="E92" s="10">
        <v>298.215</v>
      </c>
      <c r="F92" s="12">
        <v>162.7032</v>
      </c>
      <c r="G92" s="27">
        <f t="shared" si="2"/>
        <v>48520.534788</v>
      </c>
    </row>
    <row r="93" spans="2:7" ht="24">
      <c r="B93" s="21">
        <v>89</v>
      </c>
      <c r="C93" s="5" t="s">
        <v>748</v>
      </c>
      <c r="D93" s="5" t="s">
        <v>659</v>
      </c>
      <c r="E93" s="10">
        <v>24.1</v>
      </c>
      <c r="F93" s="12">
        <v>172.9992</v>
      </c>
      <c r="G93" s="27">
        <f t="shared" si="2"/>
        <v>4169.280720000001</v>
      </c>
    </row>
    <row r="94" spans="2:7" ht="24">
      <c r="B94" s="21">
        <v>90</v>
      </c>
      <c r="C94" s="5" t="s">
        <v>749</v>
      </c>
      <c r="D94" s="5" t="s">
        <v>659</v>
      </c>
      <c r="E94" s="10">
        <v>2268.77733333</v>
      </c>
      <c r="F94" s="25">
        <v>77.99</v>
      </c>
      <c r="G94" s="27">
        <f t="shared" si="2"/>
        <v>176941.9442264067</v>
      </c>
    </row>
    <row r="95" spans="2:7" ht="12">
      <c r="B95" s="44" t="s">
        <v>750</v>
      </c>
      <c r="C95" s="45"/>
      <c r="D95" s="45"/>
      <c r="E95" s="45"/>
      <c r="F95" s="46"/>
      <c r="G95" s="28">
        <f>SUM(G5:G94)</f>
        <v>6938457.091450193</v>
      </c>
    </row>
    <row r="96" spans="2:7" ht="16.5">
      <c r="B96" s="47" t="s">
        <v>751</v>
      </c>
      <c r="C96" s="47"/>
      <c r="D96" s="47"/>
      <c r="E96" s="47"/>
      <c r="F96" s="47"/>
      <c r="G96" s="47"/>
    </row>
    <row r="97" spans="2:7" ht="12">
      <c r="B97" s="20">
        <v>91</v>
      </c>
      <c r="C97" s="22" t="s">
        <v>752</v>
      </c>
      <c r="D97" s="22" t="s">
        <v>753</v>
      </c>
      <c r="E97" s="23">
        <v>10</v>
      </c>
      <c r="F97" s="24">
        <v>42.1056</v>
      </c>
      <c r="G97" s="26">
        <f aca="true" t="shared" si="3" ref="G97:G160">E97*F97</f>
        <v>421.05600000000004</v>
      </c>
    </row>
    <row r="98" spans="2:7" ht="12">
      <c r="B98" s="21">
        <v>92</v>
      </c>
      <c r="C98" s="5" t="s">
        <v>754</v>
      </c>
      <c r="D98" s="5" t="s">
        <v>755</v>
      </c>
      <c r="E98" s="10">
        <v>3.212</v>
      </c>
      <c r="F98" s="12">
        <v>8.874</v>
      </c>
      <c r="G98" s="27">
        <f t="shared" si="3"/>
        <v>28.503288000000005</v>
      </c>
    </row>
    <row r="99" spans="2:7" ht="24">
      <c r="B99" s="21">
        <v>93</v>
      </c>
      <c r="C99" s="5" t="s">
        <v>756</v>
      </c>
      <c r="D99" s="5" t="s">
        <v>753</v>
      </c>
      <c r="E99" s="10">
        <v>22</v>
      </c>
      <c r="F99" s="12">
        <v>20.02464</v>
      </c>
      <c r="G99" s="27">
        <f t="shared" si="3"/>
        <v>440.54208000000006</v>
      </c>
    </row>
    <row r="100" spans="2:7" ht="24">
      <c r="B100" s="21">
        <v>94</v>
      </c>
      <c r="C100" s="5" t="s">
        <v>757</v>
      </c>
      <c r="D100" s="5" t="s">
        <v>753</v>
      </c>
      <c r="E100" s="10">
        <v>22</v>
      </c>
      <c r="F100" s="12">
        <v>23.243759999999998</v>
      </c>
      <c r="G100" s="27">
        <f t="shared" si="3"/>
        <v>511.36271999999997</v>
      </c>
    </row>
    <row r="101" spans="2:7" ht="24">
      <c r="B101" s="21">
        <v>95</v>
      </c>
      <c r="C101" s="5" t="s">
        <v>758</v>
      </c>
      <c r="D101" s="5" t="s">
        <v>753</v>
      </c>
      <c r="E101" s="10">
        <v>22</v>
      </c>
      <c r="F101" s="12">
        <v>38.28672</v>
      </c>
      <c r="G101" s="27">
        <f t="shared" si="3"/>
        <v>842.30784</v>
      </c>
    </row>
    <row r="102" spans="2:7" ht="24">
      <c r="B102" s="21">
        <v>96</v>
      </c>
      <c r="C102" s="5" t="s">
        <v>759</v>
      </c>
      <c r="D102" s="5" t="s">
        <v>753</v>
      </c>
      <c r="E102" s="10">
        <v>22</v>
      </c>
      <c r="F102" s="12">
        <v>51.652800000000006</v>
      </c>
      <c r="G102" s="27">
        <f t="shared" si="3"/>
        <v>1136.3616000000002</v>
      </c>
    </row>
    <row r="103" spans="2:7" ht="24">
      <c r="B103" s="21">
        <v>97</v>
      </c>
      <c r="C103" s="5" t="s">
        <v>760</v>
      </c>
      <c r="D103" s="5" t="s">
        <v>753</v>
      </c>
      <c r="E103" s="10">
        <v>22</v>
      </c>
      <c r="F103" s="12">
        <v>62.925839999999994</v>
      </c>
      <c r="G103" s="27">
        <f t="shared" si="3"/>
        <v>1384.3684799999999</v>
      </c>
    </row>
    <row r="104" spans="2:7" ht="24">
      <c r="B104" s="21">
        <v>98</v>
      </c>
      <c r="C104" s="5" t="s">
        <v>761</v>
      </c>
      <c r="D104" s="5" t="s">
        <v>762</v>
      </c>
      <c r="E104" s="10">
        <v>2.2</v>
      </c>
      <c r="F104" s="12">
        <v>1132.0164</v>
      </c>
      <c r="G104" s="27">
        <f t="shared" si="3"/>
        <v>2490.43608</v>
      </c>
    </row>
    <row r="105" spans="2:7" ht="24">
      <c r="B105" s="21">
        <v>99</v>
      </c>
      <c r="C105" s="5" t="s">
        <v>763</v>
      </c>
      <c r="D105" s="5" t="s">
        <v>762</v>
      </c>
      <c r="E105" s="10">
        <v>2.2</v>
      </c>
      <c r="F105" s="12">
        <v>1533.17016</v>
      </c>
      <c r="G105" s="27">
        <f t="shared" si="3"/>
        <v>3372.974352</v>
      </c>
    </row>
    <row r="106" spans="2:7" ht="24">
      <c r="B106" s="21">
        <v>100</v>
      </c>
      <c r="C106" s="5" t="s">
        <v>764</v>
      </c>
      <c r="D106" s="5" t="s">
        <v>762</v>
      </c>
      <c r="E106" s="10">
        <v>2.2</v>
      </c>
      <c r="F106" s="12">
        <v>1898.5708799999998</v>
      </c>
      <c r="G106" s="27">
        <f t="shared" si="3"/>
        <v>4176.855936</v>
      </c>
    </row>
    <row r="107" spans="2:7" ht="12">
      <c r="B107" s="21">
        <v>101</v>
      </c>
      <c r="C107" s="5" t="s">
        <v>765</v>
      </c>
      <c r="D107" s="5" t="s">
        <v>766</v>
      </c>
      <c r="E107" s="10">
        <v>0.595</v>
      </c>
      <c r="F107" s="12">
        <v>28564.64712</v>
      </c>
      <c r="G107" s="27">
        <f t="shared" si="3"/>
        <v>16995.9650364</v>
      </c>
    </row>
    <row r="108" spans="2:7" ht="12">
      <c r="B108" s="21">
        <v>102</v>
      </c>
      <c r="C108" s="5" t="s">
        <v>767</v>
      </c>
      <c r="D108" s="5" t="s">
        <v>766</v>
      </c>
      <c r="E108" s="10">
        <v>0.6</v>
      </c>
      <c r="F108" s="12">
        <v>25123.78728</v>
      </c>
      <c r="G108" s="27">
        <f t="shared" si="3"/>
        <v>15074.272368</v>
      </c>
    </row>
    <row r="109" spans="2:7" ht="24">
      <c r="B109" s="21">
        <v>103</v>
      </c>
      <c r="C109" s="5" t="s">
        <v>768</v>
      </c>
      <c r="D109" s="5" t="s">
        <v>766</v>
      </c>
      <c r="E109" s="10">
        <v>0.0003</v>
      </c>
      <c r="F109" s="12">
        <v>510377.91407999996</v>
      </c>
      <c r="G109" s="27">
        <f t="shared" si="3"/>
        <v>153.11337422399998</v>
      </c>
    </row>
    <row r="110" spans="2:7" ht="12">
      <c r="B110" s="21">
        <v>104</v>
      </c>
      <c r="C110" s="5" t="s">
        <v>769</v>
      </c>
      <c r="D110" s="5" t="s">
        <v>17</v>
      </c>
      <c r="E110" s="10">
        <v>0.1</v>
      </c>
      <c r="F110" s="12">
        <v>3513.3940800000005</v>
      </c>
      <c r="G110" s="27">
        <f t="shared" si="3"/>
        <v>351.33940800000005</v>
      </c>
    </row>
    <row r="111" spans="2:7" ht="12">
      <c r="B111" s="21">
        <v>105</v>
      </c>
      <c r="C111" s="5" t="s">
        <v>770</v>
      </c>
      <c r="D111" s="5" t="s">
        <v>766</v>
      </c>
      <c r="E111" s="10">
        <v>14.635</v>
      </c>
      <c r="F111" s="12">
        <v>3970.36224</v>
      </c>
      <c r="G111" s="27">
        <f t="shared" si="3"/>
        <v>58106.2513824</v>
      </c>
    </row>
    <row r="112" spans="2:7" ht="12">
      <c r="B112" s="21">
        <v>106</v>
      </c>
      <c r="C112" s="5" t="s">
        <v>771</v>
      </c>
      <c r="D112" s="5" t="s">
        <v>17</v>
      </c>
      <c r="E112" s="10">
        <v>8.42</v>
      </c>
      <c r="F112" s="12">
        <v>266.52599999999995</v>
      </c>
      <c r="G112" s="27">
        <f t="shared" si="3"/>
        <v>2244.1489199999996</v>
      </c>
    </row>
    <row r="113" spans="2:7" ht="12">
      <c r="B113" s="21">
        <v>107</v>
      </c>
      <c r="C113" s="5" t="s">
        <v>772</v>
      </c>
      <c r="D113" s="5" t="s">
        <v>766</v>
      </c>
      <c r="E113" s="10">
        <v>0.0008</v>
      </c>
      <c r="F113" s="12">
        <v>424539.32039999997</v>
      </c>
      <c r="G113" s="27">
        <f t="shared" si="3"/>
        <v>339.63145632</v>
      </c>
    </row>
    <row r="114" spans="2:7" ht="12">
      <c r="B114" s="21">
        <v>108</v>
      </c>
      <c r="C114" s="5" t="s">
        <v>773</v>
      </c>
      <c r="D114" s="5" t="s">
        <v>766</v>
      </c>
      <c r="E114" s="10">
        <v>2E-06</v>
      </c>
      <c r="F114" s="12">
        <v>74564.6112</v>
      </c>
      <c r="G114" s="27">
        <f t="shared" si="3"/>
        <v>0.14912922239999998</v>
      </c>
    </row>
    <row r="115" spans="2:7" ht="12">
      <c r="B115" s="21">
        <v>109</v>
      </c>
      <c r="C115" s="5" t="s">
        <v>774</v>
      </c>
      <c r="D115" s="5" t="s">
        <v>766</v>
      </c>
      <c r="E115" s="10">
        <v>0.02625</v>
      </c>
      <c r="F115" s="12">
        <v>71424.09648</v>
      </c>
      <c r="G115" s="27">
        <f t="shared" si="3"/>
        <v>1874.8825325999996</v>
      </c>
    </row>
    <row r="116" spans="2:7" ht="12">
      <c r="B116" s="21">
        <v>110</v>
      </c>
      <c r="C116" s="5" t="s">
        <v>775</v>
      </c>
      <c r="D116" s="5" t="s">
        <v>766</v>
      </c>
      <c r="E116" s="10">
        <v>0.0008</v>
      </c>
      <c r="F116" s="12">
        <v>70878.24144</v>
      </c>
      <c r="G116" s="27">
        <f t="shared" si="3"/>
        <v>56.702593152</v>
      </c>
    </row>
    <row r="117" spans="2:7" ht="12">
      <c r="B117" s="21">
        <v>111</v>
      </c>
      <c r="C117" s="5" t="s">
        <v>776</v>
      </c>
      <c r="D117" s="5" t="s">
        <v>17</v>
      </c>
      <c r="E117" s="10">
        <v>0.001</v>
      </c>
      <c r="F117" s="12">
        <v>6294.42</v>
      </c>
      <c r="G117" s="27">
        <f t="shared" si="3"/>
        <v>6.294420000000001</v>
      </c>
    </row>
    <row r="118" spans="2:7" ht="12">
      <c r="B118" s="21">
        <v>112</v>
      </c>
      <c r="C118" s="5" t="s">
        <v>777</v>
      </c>
      <c r="D118" s="5" t="s">
        <v>102</v>
      </c>
      <c r="E118" s="10">
        <v>0.04</v>
      </c>
      <c r="F118" s="12">
        <v>41.481359999999995</v>
      </c>
      <c r="G118" s="27">
        <f t="shared" si="3"/>
        <v>1.6592543999999998</v>
      </c>
    </row>
    <row r="119" spans="2:7" ht="12">
      <c r="B119" s="21">
        <v>113</v>
      </c>
      <c r="C119" s="5" t="s">
        <v>778</v>
      </c>
      <c r="D119" s="5" t="s">
        <v>766</v>
      </c>
      <c r="E119" s="10">
        <v>0.1</v>
      </c>
      <c r="F119" s="12">
        <v>19401.24456</v>
      </c>
      <c r="G119" s="27">
        <f t="shared" si="3"/>
        <v>1940.124456</v>
      </c>
    </row>
    <row r="120" spans="2:7" ht="12">
      <c r="B120" s="21">
        <v>114</v>
      </c>
      <c r="C120" s="5" t="s">
        <v>779</v>
      </c>
      <c r="D120" s="5" t="s">
        <v>766</v>
      </c>
      <c r="E120" s="10">
        <v>0.032</v>
      </c>
      <c r="F120" s="12">
        <v>25526.43432</v>
      </c>
      <c r="G120" s="27">
        <f t="shared" si="3"/>
        <v>816.84589824</v>
      </c>
    </row>
    <row r="121" spans="2:7" ht="12">
      <c r="B121" s="21">
        <v>115</v>
      </c>
      <c r="C121" s="5" t="s">
        <v>780</v>
      </c>
      <c r="D121" s="5" t="s">
        <v>17</v>
      </c>
      <c r="E121" s="10">
        <v>1</v>
      </c>
      <c r="F121" s="12">
        <v>8515.08648</v>
      </c>
      <c r="G121" s="27">
        <f t="shared" si="3"/>
        <v>8515.08648</v>
      </c>
    </row>
    <row r="122" spans="2:7" ht="12">
      <c r="B122" s="21">
        <v>116</v>
      </c>
      <c r="C122" s="5" t="s">
        <v>781</v>
      </c>
      <c r="D122" s="5" t="s">
        <v>627</v>
      </c>
      <c r="E122" s="10">
        <v>100</v>
      </c>
      <c r="F122" s="12">
        <v>6015.250080000001</v>
      </c>
      <c r="G122" s="27">
        <f t="shared" si="3"/>
        <v>601525.008</v>
      </c>
    </row>
    <row r="123" spans="2:7" ht="24">
      <c r="B123" s="21">
        <v>117</v>
      </c>
      <c r="C123" s="5" t="s">
        <v>782</v>
      </c>
      <c r="D123" s="5" t="s">
        <v>766</v>
      </c>
      <c r="E123" s="10">
        <v>0.53</v>
      </c>
      <c r="F123" s="12">
        <v>81096.96456000001</v>
      </c>
      <c r="G123" s="27">
        <f t="shared" si="3"/>
        <v>42981.39121680001</v>
      </c>
    </row>
    <row r="124" spans="2:7" ht="12">
      <c r="B124" s="21">
        <v>118</v>
      </c>
      <c r="C124" s="5" t="s">
        <v>783</v>
      </c>
      <c r="D124" s="5" t="s">
        <v>766</v>
      </c>
      <c r="E124" s="10">
        <v>0.0005</v>
      </c>
      <c r="F124" s="12">
        <v>137545.91064</v>
      </c>
      <c r="G124" s="27">
        <f t="shared" si="3"/>
        <v>68.77295532</v>
      </c>
    </row>
    <row r="125" spans="2:7" ht="24">
      <c r="B125" s="21">
        <v>119</v>
      </c>
      <c r="C125" s="5" t="s">
        <v>784</v>
      </c>
      <c r="D125" s="5" t="s">
        <v>766</v>
      </c>
      <c r="E125" s="10">
        <v>0.122</v>
      </c>
      <c r="F125" s="12">
        <v>142134.34392</v>
      </c>
      <c r="G125" s="27">
        <f t="shared" si="3"/>
        <v>17340.38995824</v>
      </c>
    </row>
    <row r="126" spans="2:7" ht="24">
      <c r="B126" s="21">
        <v>120</v>
      </c>
      <c r="C126" s="5" t="s">
        <v>785</v>
      </c>
      <c r="D126" s="5" t="s">
        <v>766</v>
      </c>
      <c r="E126" s="10">
        <v>0.57586</v>
      </c>
      <c r="F126" s="12">
        <v>137545.91064</v>
      </c>
      <c r="G126" s="27">
        <f t="shared" si="3"/>
        <v>79207.1881011504</v>
      </c>
    </row>
    <row r="127" spans="2:7" ht="12">
      <c r="B127" s="21">
        <v>121</v>
      </c>
      <c r="C127" s="5" t="s">
        <v>786</v>
      </c>
      <c r="D127" s="5" t="s">
        <v>766</v>
      </c>
      <c r="E127" s="10">
        <v>0.41715</v>
      </c>
      <c r="F127" s="12">
        <v>111846.72095999999</v>
      </c>
      <c r="G127" s="27">
        <f t="shared" si="3"/>
        <v>46656.859648464</v>
      </c>
    </row>
    <row r="128" spans="2:7" ht="24">
      <c r="B128" s="21">
        <v>122</v>
      </c>
      <c r="C128" s="5" t="s">
        <v>787</v>
      </c>
      <c r="D128" s="5" t="s">
        <v>17</v>
      </c>
      <c r="E128" s="10">
        <v>1.768</v>
      </c>
      <c r="F128" s="12">
        <v>4568.42088</v>
      </c>
      <c r="G128" s="27">
        <f t="shared" si="3"/>
        <v>8076.96811584</v>
      </c>
    </row>
    <row r="129" spans="2:7" ht="24">
      <c r="B129" s="21">
        <v>123</v>
      </c>
      <c r="C129" s="5" t="s">
        <v>788</v>
      </c>
      <c r="D129" s="5" t="s">
        <v>17</v>
      </c>
      <c r="E129" s="10">
        <v>1.015</v>
      </c>
      <c r="F129" s="12">
        <v>4590.90576</v>
      </c>
      <c r="G129" s="27">
        <f t="shared" si="3"/>
        <v>4659.769346399999</v>
      </c>
    </row>
    <row r="130" spans="2:7" ht="24">
      <c r="B130" s="21">
        <v>124</v>
      </c>
      <c r="C130" s="5" t="s">
        <v>789</v>
      </c>
      <c r="D130" s="5" t="s">
        <v>17</v>
      </c>
      <c r="E130" s="10">
        <v>0.003</v>
      </c>
      <c r="F130" s="12">
        <v>7907.72544</v>
      </c>
      <c r="G130" s="27">
        <f t="shared" si="3"/>
        <v>23.72317632</v>
      </c>
    </row>
    <row r="131" spans="2:7" ht="24">
      <c r="B131" s="21">
        <v>125</v>
      </c>
      <c r="C131" s="5" t="s">
        <v>790</v>
      </c>
      <c r="D131" s="5" t="s">
        <v>17</v>
      </c>
      <c r="E131" s="10">
        <v>0.63</v>
      </c>
      <c r="F131" s="12">
        <v>6344.971200000001</v>
      </c>
      <c r="G131" s="27">
        <f t="shared" si="3"/>
        <v>3997.3318560000007</v>
      </c>
    </row>
    <row r="132" spans="2:7" ht="12">
      <c r="B132" s="21">
        <v>126</v>
      </c>
      <c r="C132" s="5" t="s">
        <v>791</v>
      </c>
      <c r="D132" s="5" t="s">
        <v>631</v>
      </c>
      <c r="E132" s="10">
        <v>0.002</v>
      </c>
      <c r="F132" s="12">
        <v>477.94752</v>
      </c>
      <c r="G132" s="27">
        <f t="shared" si="3"/>
        <v>0.95589504</v>
      </c>
    </row>
    <row r="133" spans="2:7" ht="12">
      <c r="B133" s="21">
        <v>127</v>
      </c>
      <c r="C133" s="5" t="s">
        <v>792</v>
      </c>
      <c r="D133" s="5" t="s">
        <v>753</v>
      </c>
      <c r="E133" s="10">
        <v>100</v>
      </c>
      <c r="F133" s="12">
        <v>1103.22792</v>
      </c>
      <c r="G133" s="27">
        <f t="shared" si="3"/>
        <v>110322.792</v>
      </c>
    </row>
    <row r="134" spans="2:7" ht="24">
      <c r="B134" s="21">
        <v>128</v>
      </c>
      <c r="C134" s="5" t="s">
        <v>793</v>
      </c>
      <c r="D134" s="5" t="s">
        <v>753</v>
      </c>
      <c r="E134" s="10">
        <v>100</v>
      </c>
      <c r="F134" s="12">
        <v>178.14095999999998</v>
      </c>
      <c r="G134" s="27">
        <f t="shared" si="3"/>
        <v>17814.095999999998</v>
      </c>
    </row>
    <row r="135" spans="2:7" ht="24">
      <c r="B135" s="21">
        <v>129</v>
      </c>
      <c r="C135" s="5" t="s">
        <v>794</v>
      </c>
      <c r="D135" s="5" t="s">
        <v>753</v>
      </c>
      <c r="E135" s="10">
        <v>100</v>
      </c>
      <c r="F135" s="12">
        <v>228.00672</v>
      </c>
      <c r="G135" s="27">
        <f t="shared" si="3"/>
        <v>22800.672</v>
      </c>
    </row>
    <row r="136" spans="2:7" ht="24">
      <c r="B136" s="21">
        <v>130</v>
      </c>
      <c r="C136" s="5" t="s">
        <v>795</v>
      </c>
      <c r="D136" s="5" t="s">
        <v>753</v>
      </c>
      <c r="E136" s="10">
        <v>100</v>
      </c>
      <c r="F136" s="12">
        <v>344.99664</v>
      </c>
      <c r="G136" s="27">
        <f t="shared" si="3"/>
        <v>34499.664000000004</v>
      </c>
    </row>
    <row r="137" spans="2:7" ht="24">
      <c r="B137" s="21">
        <v>131</v>
      </c>
      <c r="C137" s="5" t="s">
        <v>796</v>
      </c>
      <c r="D137" s="5" t="s">
        <v>753</v>
      </c>
      <c r="E137" s="10">
        <v>2</v>
      </c>
      <c r="F137" s="12">
        <v>5740.3152</v>
      </c>
      <c r="G137" s="27">
        <f t="shared" si="3"/>
        <v>11480.6304</v>
      </c>
    </row>
    <row r="138" spans="2:7" ht="12">
      <c r="B138" s="21">
        <v>132</v>
      </c>
      <c r="C138" s="5" t="s">
        <v>797</v>
      </c>
      <c r="D138" s="5" t="s">
        <v>753</v>
      </c>
      <c r="E138" s="10">
        <v>1</v>
      </c>
      <c r="F138" s="12">
        <v>3201.53112</v>
      </c>
      <c r="G138" s="27">
        <f t="shared" si="3"/>
        <v>3201.53112</v>
      </c>
    </row>
    <row r="139" spans="2:7" ht="12">
      <c r="B139" s="21">
        <v>133</v>
      </c>
      <c r="C139" s="5" t="s">
        <v>798</v>
      </c>
      <c r="D139" s="5" t="s">
        <v>753</v>
      </c>
      <c r="E139" s="10">
        <v>1</v>
      </c>
      <c r="F139" s="12">
        <v>4592.154240000001</v>
      </c>
      <c r="G139" s="27">
        <f t="shared" si="3"/>
        <v>4592.154240000001</v>
      </c>
    </row>
    <row r="140" spans="2:7" ht="12">
      <c r="B140" s="21">
        <v>134</v>
      </c>
      <c r="C140" s="5" t="s">
        <v>799</v>
      </c>
      <c r="D140" s="5" t="s">
        <v>753</v>
      </c>
      <c r="E140" s="10">
        <v>1</v>
      </c>
      <c r="F140" s="12">
        <v>4996.343519999999</v>
      </c>
      <c r="G140" s="27">
        <f t="shared" si="3"/>
        <v>4996.343519999999</v>
      </c>
    </row>
    <row r="141" spans="2:7" ht="12">
      <c r="B141" s="21">
        <v>135</v>
      </c>
      <c r="C141" s="5" t="s">
        <v>800</v>
      </c>
      <c r="D141" s="5" t="s">
        <v>753</v>
      </c>
      <c r="E141" s="10">
        <v>1</v>
      </c>
      <c r="F141" s="12">
        <v>6013.31616</v>
      </c>
      <c r="G141" s="27">
        <f t="shared" si="3"/>
        <v>6013.31616</v>
      </c>
    </row>
    <row r="142" spans="2:7" ht="12">
      <c r="B142" s="21">
        <v>136</v>
      </c>
      <c r="C142" s="5" t="s">
        <v>801</v>
      </c>
      <c r="D142" s="5" t="s">
        <v>753</v>
      </c>
      <c r="E142" s="10">
        <v>100</v>
      </c>
      <c r="F142" s="12">
        <v>185.90112</v>
      </c>
      <c r="G142" s="27">
        <f t="shared" si="3"/>
        <v>18590.112</v>
      </c>
    </row>
    <row r="143" spans="2:7" ht="12">
      <c r="B143" s="21">
        <v>137</v>
      </c>
      <c r="C143" s="5" t="s">
        <v>802</v>
      </c>
      <c r="D143" s="5" t="s">
        <v>753</v>
      </c>
      <c r="E143" s="10">
        <v>100</v>
      </c>
      <c r="F143" s="12">
        <v>350.23535999999996</v>
      </c>
      <c r="G143" s="27">
        <f t="shared" si="3"/>
        <v>35023.53599999999</v>
      </c>
    </row>
    <row r="144" spans="2:7" ht="12">
      <c r="B144" s="21">
        <v>138</v>
      </c>
      <c r="C144" s="5" t="s">
        <v>803</v>
      </c>
      <c r="D144" s="5" t="s">
        <v>753</v>
      </c>
      <c r="E144" s="10">
        <v>100</v>
      </c>
      <c r="F144" s="12">
        <v>729.5774399999999</v>
      </c>
      <c r="G144" s="27">
        <f t="shared" si="3"/>
        <v>72957.74399999999</v>
      </c>
    </row>
    <row r="145" spans="2:7" ht="12">
      <c r="B145" s="21">
        <v>139</v>
      </c>
      <c r="C145" s="5" t="s">
        <v>804</v>
      </c>
      <c r="D145" s="5" t="s">
        <v>766</v>
      </c>
      <c r="E145" s="10">
        <v>0.03355</v>
      </c>
      <c r="F145" s="12">
        <v>185071.15008</v>
      </c>
      <c r="G145" s="27">
        <f t="shared" si="3"/>
        <v>6209.137085184</v>
      </c>
    </row>
    <row r="146" spans="2:7" ht="12">
      <c r="B146" s="21">
        <v>140</v>
      </c>
      <c r="C146" s="5" t="s">
        <v>805</v>
      </c>
      <c r="D146" s="5" t="s">
        <v>766</v>
      </c>
      <c r="E146" s="10">
        <v>0.84</v>
      </c>
      <c r="F146" s="12">
        <v>28709.69112</v>
      </c>
      <c r="G146" s="27">
        <f t="shared" si="3"/>
        <v>24116.1405408</v>
      </c>
    </row>
    <row r="147" spans="2:7" ht="12">
      <c r="B147" s="21">
        <v>141</v>
      </c>
      <c r="C147" s="5" t="s">
        <v>806</v>
      </c>
      <c r="D147" s="5" t="s">
        <v>755</v>
      </c>
      <c r="E147" s="10">
        <v>54.998</v>
      </c>
      <c r="F147" s="12">
        <v>32.27688</v>
      </c>
      <c r="G147" s="27">
        <f t="shared" si="3"/>
        <v>1775.1638462399999</v>
      </c>
    </row>
    <row r="148" spans="2:7" ht="12">
      <c r="B148" s="21">
        <v>142</v>
      </c>
      <c r="C148" s="5" t="s">
        <v>807</v>
      </c>
      <c r="D148" s="5" t="s">
        <v>808</v>
      </c>
      <c r="E148" s="10">
        <v>2</v>
      </c>
      <c r="F148" s="12">
        <v>19.4616</v>
      </c>
      <c r="G148" s="27">
        <f t="shared" si="3"/>
        <v>38.9232</v>
      </c>
    </row>
    <row r="149" spans="2:7" ht="12">
      <c r="B149" s="21">
        <v>143</v>
      </c>
      <c r="C149" s="5" t="s">
        <v>809</v>
      </c>
      <c r="D149" s="5" t="s">
        <v>766</v>
      </c>
      <c r="E149" s="10">
        <v>0.0005</v>
      </c>
      <c r="F149" s="12">
        <v>110481.06744</v>
      </c>
      <c r="G149" s="27">
        <f t="shared" si="3"/>
        <v>55.24053372</v>
      </c>
    </row>
    <row r="150" spans="2:7" ht="24">
      <c r="B150" s="21">
        <v>144</v>
      </c>
      <c r="C150" s="5" t="s">
        <v>810</v>
      </c>
      <c r="D150" s="5" t="s">
        <v>102</v>
      </c>
      <c r="E150" s="10">
        <v>8E-05</v>
      </c>
      <c r="F150" s="12">
        <v>112.42439999999999</v>
      </c>
      <c r="G150" s="27">
        <f t="shared" si="3"/>
        <v>0.008993952</v>
      </c>
    </row>
    <row r="151" spans="2:7" ht="12">
      <c r="B151" s="21">
        <v>145</v>
      </c>
      <c r="C151" s="5" t="s">
        <v>811</v>
      </c>
      <c r="D151" s="5" t="s">
        <v>766</v>
      </c>
      <c r="E151" s="10">
        <v>0.01212</v>
      </c>
      <c r="F151" s="12">
        <v>258036.81336</v>
      </c>
      <c r="G151" s="27">
        <f t="shared" si="3"/>
        <v>3127.4061779232</v>
      </c>
    </row>
    <row r="152" spans="2:7" ht="12">
      <c r="B152" s="21">
        <v>146</v>
      </c>
      <c r="C152" s="5" t="s">
        <v>812</v>
      </c>
      <c r="D152" s="5" t="s">
        <v>17</v>
      </c>
      <c r="E152" s="10">
        <v>11332.5875</v>
      </c>
      <c r="F152" s="12">
        <v>0</v>
      </c>
      <c r="G152" s="27">
        <f t="shared" si="3"/>
        <v>0</v>
      </c>
    </row>
    <row r="153" spans="2:7" ht="12">
      <c r="B153" s="21">
        <v>147</v>
      </c>
      <c r="C153" s="5" t="s">
        <v>813</v>
      </c>
      <c r="D153" s="5" t="s">
        <v>814</v>
      </c>
      <c r="E153" s="10">
        <v>217</v>
      </c>
      <c r="F153" s="12">
        <v>192.05784</v>
      </c>
      <c r="G153" s="27">
        <f t="shared" si="3"/>
        <v>41676.55128</v>
      </c>
    </row>
    <row r="154" spans="2:7" ht="12">
      <c r="B154" s="21">
        <v>148</v>
      </c>
      <c r="C154" s="5" t="s">
        <v>815</v>
      </c>
      <c r="D154" s="5" t="s">
        <v>766</v>
      </c>
      <c r="E154" s="10">
        <v>0.193</v>
      </c>
      <c r="F154" s="12">
        <v>140651.33328</v>
      </c>
      <c r="G154" s="27">
        <f t="shared" si="3"/>
        <v>27145.70732304</v>
      </c>
    </row>
    <row r="155" spans="2:7" ht="12">
      <c r="B155" s="21">
        <v>149</v>
      </c>
      <c r="C155" s="5" t="s">
        <v>816</v>
      </c>
      <c r="D155" s="5" t="s">
        <v>627</v>
      </c>
      <c r="E155" s="10">
        <v>224.3</v>
      </c>
      <c r="F155" s="12">
        <v>328.96224</v>
      </c>
      <c r="G155" s="27">
        <f t="shared" si="3"/>
        <v>73786.23043200001</v>
      </c>
    </row>
    <row r="156" spans="2:7" ht="12">
      <c r="B156" s="21">
        <v>150</v>
      </c>
      <c r="C156" s="5" t="s">
        <v>817</v>
      </c>
      <c r="D156" s="5" t="s">
        <v>753</v>
      </c>
      <c r="E156" s="10">
        <v>100</v>
      </c>
      <c r="F156" s="12">
        <v>254.35944</v>
      </c>
      <c r="G156" s="27">
        <f t="shared" si="3"/>
        <v>25435.944</v>
      </c>
    </row>
    <row r="157" spans="2:7" ht="12">
      <c r="B157" s="21">
        <v>151</v>
      </c>
      <c r="C157" s="5" t="s">
        <v>818</v>
      </c>
      <c r="D157" s="5" t="s">
        <v>753</v>
      </c>
      <c r="E157" s="10">
        <v>1</v>
      </c>
      <c r="F157" s="12">
        <v>982.0396800000001</v>
      </c>
      <c r="G157" s="27">
        <f t="shared" si="3"/>
        <v>982.0396800000001</v>
      </c>
    </row>
    <row r="158" spans="2:7" ht="12">
      <c r="B158" s="21">
        <v>152</v>
      </c>
      <c r="C158" s="5" t="s">
        <v>819</v>
      </c>
      <c r="D158" s="5" t="s">
        <v>820</v>
      </c>
      <c r="E158" s="10">
        <v>0.122</v>
      </c>
      <c r="F158" s="12">
        <v>48604.35456000001</v>
      </c>
      <c r="G158" s="27">
        <f t="shared" si="3"/>
        <v>5929.73125632</v>
      </c>
    </row>
    <row r="159" spans="2:7" ht="12">
      <c r="B159" s="21">
        <v>153</v>
      </c>
      <c r="C159" s="5" t="s">
        <v>821</v>
      </c>
      <c r="D159" s="5" t="s">
        <v>753</v>
      </c>
      <c r="E159" s="10">
        <v>2</v>
      </c>
      <c r="F159" s="12">
        <v>2994.96888</v>
      </c>
      <c r="G159" s="27">
        <f t="shared" si="3"/>
        <v>5989.93776</v>
      </c>
    </row>
    <row r="160" spans="2:7" ht="12">
      <c r="B160" s="21">
        <v>154</v>
      </c>
      <c r="C160" s="5" t="s">
        <v>822</v>
      </c>
      <c r="D160" s="5" t="s">
        <v>762</v>
      </c>
      <c r="E160" s="10">
        <v>0.1</v>
      </c>
      <c r="F160" s="12">
        <v>635.7456</v>
      </c>
      <c r="G160" s="27">
        <f t="shared" si="3"/>
        <v>63.57456</v>
      </c>
    </row>
    <row r="161" spans="2:7" ht="12">
      <c r="B161" s="21">
        <v>155</v>
      </c>
      <c r="C161" s="5" t="s">
        <v>823</v>
      </c>
      <c r="D161" s="5" t="s">
        <v>766</v>
      </c>
      <c r="E161" s="10">
        <v>0.01235</v>
      </c>
      <c r="F161" s="12">
        <v>77505.45479999999</v>
      </c>
      <c r="G161" s="27">
        <f aca="true" t="shared" si="4" ref="G161:G224">E161*F161</f>
        <v>957.1923667799999</v>
      </c>
    </row>
    <row r="162" spans="2:7" ht="12">
      <c r="B162" s="21">
        <v>156</v>
      </c>
      <c r="C162" s="5" t="s">
        <v>824</v>
      </c>
      <c r="D162" s="5" t="s">
        <v>766</v>
      </c>
      <c r="E162" s="10">
        <v>0.00441</v>
      </c>
      <c r="F162" s="12">
        <v>69661.0836</v>
      </c>
      <c r="G162" s="27">
        <f t="shared" si="4"/>
        <v>307.205378676</v>
      </c>
    </row>
    <row r="163" spans="2:7" ht="12">
      <c r="B163" s="21">
        <v>157</v>
      </c>
      <c r="C163" s="5" t="s">
        <v>825</v>
      </c>
      <c r="D163" s="5" t="s">
        <v>766</v>
      </c>
      <c r="E163" s="10">
        <v>0.029653</v>
      </c>
      <c r="F163" s="12">
        <v>69154.2252</v>
      </c>
      <c r="G163" s="27">
        <f t="shared" si="4"/>
        <v>2050.6302398556</v>
      </c>
    </row>
    <row r="164" spans="2:7" ht="12">
      <c r="B164" s="21">
        <v>158</v>
      </c>
      <c r="C164" s="5" t="s">
        <v>826</v>
      </c>
      <c r="D164" s="5" t="s">
        <v>766</v>
      </c>
      <c r="E164" s="10">
        <v>0.0057</v>
      </c>
      <c r="F164" s="12">
        <v>69154.2252</v>
      </c>
      <c r="G164" s="27">
        <f t="shared" si="4"/>
        <v>394.17908364000004</v>
      </c>
    </row>
    <row r="165" spans="2:7" ht="12">
      <c r="B165" s="21">
        <v>159</v>
      </c>
      <c r="C165" s="5" t="s">
        <v>827</v>
      </c>
      <c r="D165" s="5" t="s">
        <v>766</v>
      </c>
      <c r="E165" s="10">
        <v>0.05015</v>
      </c>
      <c r="F165" s="12">
        <v>69154.2252</v>
      </c>
      <c r="G165" s="27">
        <f t="shared" si="4"/>
        <v>3468.08439378</v>
      </c>
    </row>
    <row r="166" spans="2:7" ht="12">
      <c r="B166" s="21">
        <v>160</v>
      </c>
      <c r="C166" s="5" t="s">
        <v>828</v>
      </c>
      <c r="D166" s="5" t="s">
        <v>766</v>
      </c>
      <c r="E166" s="10">
        <v>0.00664</v>
      </c>
      <c r="F166" s="12">
        <v>64719.59976</v>
      </c>
      <c r="G166" s="27">
        <f t="shared" si="4"/>
        <v>429.73814240639996</v>
      </c>
    </row>
    <row r="167" spans="2:7" ht="12">
      <c r="B167" s="21">
        <v>161</v>
      </c>
      <c r="C167" s="5" t="s">
        <v>829</v>
      </c>
      <c r="D167" s="5" t="s">
        <v>766</v>
      </c>
      <c r="E167" s="10">
        <v>0.0054</v>
      </c>
      <c r="F167" s="12">
        <v>70162.0056</v>
      </c>
      <c r="G167" s="27">
        <f t="shared" si="4"/>
        <v>378.87483024000005</v>
      </c>
    </row>
    <row r="168" spans="2:7" ht="12">
      <c r="B168" s="21">
        <v>162</v>
      </c>
      <c r="C168" s="5" t="s">
        <v>830</v>
      </c>
      <c r="D168" s="5" t="s">
        <v>766</v>
      </c>
      <c r="E168" s="10">
        <v>0.0028</v>
      </c>
      <c r="F168" s="12">
        <v>73870.26048</v>
      </c>
      <c r="G168" s="27">
        <f t="shared" si="4"/>
        <v>206.836729344</v>
      </c>
    </row>
    <row r="169" spans="2:7" ht="12">
      <c r="B169" s="21">
        <v>163</v>
      </c>
      <c r="C169" s="5" t="s">
        <v>831</v>
      </c>
      <c r="D169" s="5" t="s">
        <v>832</v>
      </c>
      <c r="E169" s="10">
        <v>5.61</v>
      </c>
      <c r="F169" s="12">
        <v>506.67479999999995</v>
      </c>
      <c r="G169" s="27">
        <f t="shared" si="4"/>
        <v>2842.445628</v>
      </c>
    </row>
    <row r="170" spans="2:7" ht="12">
      <c r="B170" s="21">
        <v>164</v>
      </c>
      <c r="C170" s="5" t="s">
        <v>833</v>
      </c>
      <c r="D170" s="5" t="s">
        <v>766</v>
      </c>
      <c r="E170" s="10">
        <v>2.612</v>
      </c>
      <c r="F170" s="12">
        <v>6860.6424</v>
      </c>
      <c r="G170" s="27">
        <f t="shared" si="4"/>
        <v>17919.9979488</v>
      </c>
    </row>
    <row r="171" spans="2:7" ht="24">
      <c r="B171" s="21">
        <v>165</v>
      </c>
      <c r="C171" s="5" t="s">
        <v>834</v>
      </c>
      <c r="D171" s="5" t="s">
        <v>753</v>
      </c>
      <c r="E171" s="10">
        <v>300</v>
      </c>
      <c r="F171" s="12">
        <v>45.875519999999995</v>
      </c>
      <c r="G171" s="27">
        <f t="shared" si="4"/>
        <v>13762.655999999999</v>
      </c>
    </row>
    <row r="172" spans="2:7" ht="24">
      <c r="B172" s="21">
        <v>166</v>
      </c>
      <c r="C172" s="5" t="s">
        <v>835</v>
      </c>
      <c r="D172" s="5" t="s">
        <v>753</v>
      </c>
      <c r="E172" s="10">
        <v>1</v>
      </c>
      <c r="F172" s="12">
        <v>69385.04711999999</v>
      </c>
      <c r="G172" s="27">
        <f t="shared" si="4"/>
        <v>69385.04711999999</v>
      </c>
    </row>
    <row r="173" spans="2:7" ht="12">
      <c r="B173" s="21">
        <v>167</v>
      </c>
      <c r="C173" s="5" t="s">
        <v>836</v>
      </c>
      <c r="D173" s="5" t="s">
        <v>837</v>
      </c>
      <c r="E173" s="10">
        <v>105</v>
      </c>
      <c r="F173" s="12">
        <v>140.31936</v>
      </c>
      <c r="G173" s="27">
        <f t="shared" si="4"/>
        <v>14733.532799999999</v>
      </c>
    </row>
    <row r="174" spans="2:7" ht="12">
      <c r="B174" s="21">
        <v>168</v>
      </c>
      <c r="C174" s="5" t="s">
        <v>838</v>
      </c>
      <c r="D174" s="5" t="s">
        <v>17</v>
      </c>
      <c r="E174" s="10">
        <v>0.1</v>
      </c>
      <c r="F174" s="12">
        <v>1761.89904</v>
      </c>
      <c r="G174" s="27">
        <f t="shared" si="4"/>
        <v>176.189904</v>
      </c>
    </row>
    <row r="175" spans="2:7" ht="12">
      <c r="B175" s="21">
        <v>169</v>
      </c>
      <c r="C175" s="5" t="s">
        <v>839</v>
      </c>
      <c r="D175" s="5" t="s">
        <v>766</v>
      </c>
      <c r="E175" s="10">
        <v>0.0001</v>
      </c>
      <c r="F175" s="12">
        <v>29403.576719999997</v>
      </c>
      <c r="G175" s="27">
        <f t="shared" si="4"/>
        <v>2.9403576719999998</v>
      </c>
    </row>
    <row r="176" spans="2:7" ht="12">
      <c r="B176" s="21">
        <v>170</v>
      </c>
      <c r="C176" s="5" t="s">
        <v>840</v>
      </c>
      <c r="D176" s="5" t="s">
        <v>753</v>
      </c>
      <c r="E176" s="10">
        <v>1</v>
      </c>
      <c r="F176" s="12">
        <v>4385.457359999999</v>
      </c>
      <c r="G176" s="27">
        <f t="shared" si="4"/>
        <v>4385.457359999999</v>
      </c>
    </row>
    <row r="177" spans="2:7" ht="12">
      <c r="B177" s="21">
        <v>171</v>
      </c>
      <c r="C177" s="5" t="s">
        <v>841</v>
      </c>
      <c r="D177" s="5" t="s">
        <v>753</v>
      </c>
      <c r="E177" s="10">
        <v>1</v>
      </c>
      <c r="F177" s="12">
        <v>1949.14656</v>
      </c>
      <c r="G177" s="27">
        <f t="shared" si="4"/>
        <v>1949.14656</v>
      </c>
    </row>
    <row r="178" spans="2:7" ht="12">
      <c r="B178" s="21">
        <v>172</v>
      </c>
      <c r="C178" s="5" t="s">
        <v>842</v>
      </c>
      <c r="D178" s="5" t="s">
        <v>753</v>
      </c>
      <c r="E178" s="10">
        <v>5</v>
      </c>
      <c r="F178" s="12">
        <v>1444.03848</v>
      </c>
      <c r="G178" s="27">
        <f t="shared" si="4"/>
        <v>7220.1924</v>
      </c>
    </row>
    <row r="179" spans="2:7" ht="12">
      <c r="B179" s="21">
        <v>173</v>
      </c>
      <c r="C179" s="5" t="s">
        <v>843</v>
      </c>
      <c r="D179" s="5" t="s">
        <v>753</v>
      </c>
      <c r="E179" s="10">
        <v>1</v>
      </c>
      <c r="F179" s="12">
        <v>5108.596559999999</v>
      </c>
      <c r="G179" s="27">
        <f t="shared" si="4"/>
        <v>5108.596559999999</v>
      </c>
    </row>
    <row r="180" spans="2:7" ht="12">
      <c r="B180" s="21">
        <v>174</v>
      </c>
      <c r="C180" s="5" t="s">
        <v>844</v>
      </c>
      <c r="D180" s="5" t="s">
        <v>627</v>
      </c>
      <c r="E180" s="10">
        <v>151.2</v>
      </c>
      <c r="F180" s="12">
        <v>234.00432</v>
      </c>
      <c r="G180" s="27">
        <f t="shared" si="4"/>
        <v>35381.453184</v>
      </c>
    </row>
    <row r="181" spans="2:7" ht="24">
      <c r="B181" s="21">
        <v>175</v>
      </c>
      <c r="C181" s="5" t="s">
        <v>845</v>
      </c>
      <c r="D181" s="5" t="s">
        <v>846</v>
      </c>
      <c r="E181" s="10">
        <v>0.1</v>
      </c>
      <c r="F181" s="12">
        <v>13407.89184</v>
      </c>
      <c r="G181" s="27">
        <f t="shared" si="4"/>
        <v>1340.7891840000002</v>
      </c>
    </row>
    <row r="182" spans="2:7" ht="12">
      <c r="B182" s="21">
        <v>176</v>
      </c>
      <c r="C182" s="5" t="s">
        <v>847</v>
      </c>
      <c r="D182" s="5" t="s">
        <v>753</v>
      </c>
      <c r="E182" s="10">
        <v>100</v>
      </c>
      <c r="F182" s="12">
        <v>3815.6241600000003</v>
      </c>
      <c r="G182" s="27">
        <f t="shared" si="4"/>
        <v>381562.416</v>
      </c>
    </row>
    <row r="183" spans="2:7" ht="24">
      <c r="B183" s="21">
        <v>177</v>
      </c>
      <c r="C183" s="5" t="s">
        <v>848</v>
      </c>
      <c r="D183" s="5" t="s">
        <v>766</v>
      </c>
      <c r="E183" s="10">
        <v>0.015</v>
      </c>
      <c r="F183" s="12">
        <v>82598.71463999999</v>
      </c>
      <c r="G183" s="27">
        <f t="shared" si="4"/>
        <v>1238.9807196</v>
      </c>
    </row>
    <row r="184" spans="2:7" ht="12">
      <c r="B184" s="21">
        <v>178</v>
      </c>
      <c r="C184" s="5" t="s">
        <v>849</v>
      </c>
      <c r="D184" s="5" t="s">
        <v>753</v>
      </c>
      <c r="E184" s="10">
        <v>1</v>
      </c>
      <c r="F184" s="12">
        <v>1909.42776</v>
      </c>
      <c r="G184" s="27">
        <f t="shared" si="4"/>
        <v>1909.42776</v>
      </c>
    </row>
    <row r="185" spans="2:7" ht="24">
      <c r="B185" s="21">
        <v>179</v>
      </c>
      <c r="C185" s="5" t="s">
        <v>850</v>
      </c>
      <c r="D185" s="5" t="s">
        <v>17</v>
      </c>
      <c r="E185" s="10">
        <v>0.93</v>
      </c>
      <c r="F185" s="12">
        <v>3307.68864</v>
      </c>
      <c r="G185" s="27">
        <f t="shared" si="4"/>
        <v>3076.1504352</v>
      </c>
    </row>
    <row r="186" spans="2:7" ht="24">
      <c r="B186" s="21">
        <v>180</v>
      </c>
      <c r="C186" s="5" t="s">
        <v>851</v>
      </c>
      <c r="D186" s="5" t="s">
        <v>17</v>
      </c>
      <c r="E186" s="10">
        <v>1.5385</v>
      </c>
      <c r="F186" s="12">
        <v>5598.135360000001</v>
      </c>
      <c r="G186" s="27">
        <f t="shared" si="4"/>
        <v>8612.73125136</v>
      </c>
    </row>
    <row r="187" spans="2:7" ht="24">
      <c r="B187" s="21">
        <v>181</v>
      </c>
      <c r="C187" s="5" t="s">
        <v>852</v>
      </c>
      <c r="D187" s="5" t="s">
        <v>17</v>
      </c>
      <c r="E187" s="10">
        <v>1.44</v>
      </c>
      <c r="F187" s="12">
        <v>5361.426</v>
      </c>
      <c r="G187" s="27">
        <f t="shared" si="4"/>
        <v>7720.45344</v>
      </c>
    </row>
    <row r="188" spans="2:7" ht="24">
      <c r="B188" s="21">
        <v>182</v>
      </c>
      <c r="C188" s="5" t="s">
        <v>853</v>
      </c>
      <c r="D188" s="5" t="s">
        <v>17</v>
      </c>
      <c r="E188" s="10">
        <v>1.066</v>
      </c>
      <c r="F188" s="12">
        <v>6634.165679999999</v>
      </c>
      <c r="G188" s="27">
        <f t="shared" si="4"/>
        <v>7072.02061488</v>
      </c>
    </row>
    <row r="189" spans="2:7" ht="12">
      <c r="B189" s="21">
        <v>183</v>
      </c>
      <c r="C189" s="5" t="s">
        <v>854</v>
      </c>
      <c r="D189" s="5" t="s">
        <v>855</v>
      </c>
      <c r="E189" s="10">
        <v>83</v>
      </c>
      <c r="F189" s="12">
        <v>414.31176000000005</v>
      </c>
      <c r="G189" s="27">
        <f t="shared" si="4"/>
        <v>34387.87608</v>
      </c>
    </row>
    <row r="190" spans="2:7" ht="36">
      <c r="B190" s="21">
        <v>184</v>
      </c>
      <c r="C190" s="5" t="s">
        <v>856</v>
      </c>
      <c r="D190" s="5" t="s">
        <v>17</v>
      </c>
      <c r="E190" s="10">
        <v>0.023</v>
      </c>
      <c r="F190" s="12">
        <v>18906.5772</v>
      </c>
      <c r="G190" s="27">
        <f t="shared" si="4"/>
        <v>434.8512756</v>
      </c>
    </row>
    <row r="191" spans="2:7" ht="24">
      <c r="B191" s="21">
        <v>185</v>
      </c>
      <c r="C191" s="5" t="s">
        <v>857</v>
      </c>
      <c r="D191" s="5" t="s">
        <v>820</v>
      </c>
      <c r="E191" s="10">
        <v>1.3</v>
      </c>
      <c r="F191" s="12">
        <v>1062.0892800000001</v>
      </c>
      <c r="G191" s="27">
        <f t="shared" si="4"/>
        <v>1380.7160640000002</v>
      </c>
    </row>
    <row r="192" spans="2:7" ht="12">
      <c r="B192" s="21">
        <v>186</v>
      </c>
      <c r="C192" s="5" t="s">
        <v>858</v>
      </c>
      <c r="D192" s="5" t="s">
        <v>17</v>
      </c>
      <c r="E192" s="10">
        <v>0.3</v>
      </c>
      <c r="F192" s="12">
        <v>1389.38688</v>
      </c>
      <c r="G192" s="27">
        <f t="shared" si="4"/>
        <v>416.816064</v>
      </c>
    </row>
    <row r="193" spans="2:7" ht="24">
      <c r="B193" s="21">
        <v>187</v>
      </c>
      <c r="C193" s="5" t="s">
        <v>859</v>
      </c>
      <c r="D193" s="5" t="s">
        <v>766</v>
      </c>
      <c r="E193" s="10">
        <v>0.00777</v>
      </c>
      <c r="F193" s="12">
        <v>109654.62264</v>
      </c>
      <c r="G193" s="27">
        <f t="shared" si="4"/>
        <v>852.0164179128</v>
      </c>
    </row>
    <row r="194" spans="2:7" ht="24">
      <c r="B194" s="21">
        <v>188</v>
      </c>
      <c r="C194" s="5" t="s">
        <v>860</v>
      </c>
      <c r="D194" s="5" t="s">
        <v>766</v>
      </c>
      <c r="E194" s="10">
        <v>0.00278</v>
      </c>
      <c r="F194" s="12">
        <v>95254.87464</v>
      </c>
      <c r="G194" s="27">
        <f t="shared" si="4"/>
        <v>264.80855149919995</v>
      </c>
    </row>
    <row r="195" spans="2:7" ht="24">
      <c r="B195" s="21">
        <v>189</v>
      </c>
      <c r="C195" s="5" t="s">
        <v>861</v>
      </c>
      <c r="D195" s="5" t="s">
        <v>766</v>
      </c>
      <c r="E195" s="10">
        <v>0.0028</v>
      </c>
      <c r="F195" s="12">
        <v>108355.37112000001</v>
      </c>
      <c r="G195" s="27">
        <f t="shared" si="4"/>
        <v>303.39503913600004</v>
      </c>
    </row>
    <row r="196" spans="2:7" ht="24">
      <c r="B196" s="21">
        <v>190</v>
      </c>
      <c r="C196" s="5" t="s">
        <v>862</v>
      </c>
      <c r="D196" s="5" t="s">
        <v>766</v>
      </c>
      <c r="E196" s="10">
        <v>0.0018</v>
      </c>
      <c r="F196" s="12">
        <v>106853.21712</v>
      </c>
      <c r="G196" s="27">
        <f t="shared" si="4"/>
        <v>192.33579081599999</v>
      </c>
    </row>
    <row r="197" spans="2:7" ht="12">
      <c r="B197" s="21">
        <v>191</v>
      </c>
      <c r="C197" s="5" t="s">
        <v>863</v>
      </c>
      <c r="D197" s="5" t="s">
        <v>102</v>
      </c>
      <c r="E197" s="10">
        <v>2.28</v>
      </c>
      <c r="F197" s="12">
        <v>275.77944</v>
      </c>
      <c r="G197" s="27">
        <f t="shared" si="4"/>
        <v>628.7771232</v>
      </c>
    </row>
    <row r="198" spans="2:7" ht="12">
      <c r="B198" s="21">
        <v>192</v>
      </c>
      <c r="C198" s="5" t="s">
        <v>864</v>
      </c>
      <c r="D198" s="5" t="s">
        <v>17</v>
      </c>
      <c r="E198" s="10">
        <v>1.97</v>
      </c>
      <c r="F198" s="12">
        <v>8719.00488</v>
      </c>
      <c r="G198" s="27">
        <f t="shared" si="4"/>
        <v>17176.4396136</v>
      </c>
    </row>
    <row r="199" spans="2:7" ht="12">
      <c r="B199" s="21">
        <v>193</v>
      </c>
      <c r="C199" s="5" t="s">
        <v>865</v>
      </c>
      <c r="D199" s="5" t="s">
        <v>753</v>
      </c>
      <c r="E199" s="10">
        <v>100</v>
      </c>
      <c r="F199" s="12">
        <v>1791.7156799999998</v>
      </c>
      <c r="G199" s="27">
        <f t="shared" si="4"/>
        <v>179171.56799999997</v>
      </c>
    </row>
    <row r="200" spans="2:7" ht="12">
      <c r="B200" s="21">
        <v>194</v>
      </c>
      <c r="C200" s="5" t="s">
        <v>866</v>
      </c>
      <c r="D200" s="5" t="s">
        <v>753</v>
      </c>
      <c r="E200" s="10">
        <v>100</v>
      </c>
      <c r="F200" s="12">
        <v>39.38832</v>
      </c>
      <c r="G200" s="27">
        <f t="shared" si="4"/>
        <v>3938.832</v>
      </c>
    </row>
    <row r="201" spans="2:7" ht="24">
      <c r="B201" s="21">
        <v>195</v>
      </c>
      <c r="C201" s="5" t="s">
        <v>867</v>
      </c>
      <c r="D201" s="5" t="s">
        <v>753</v>
      </c>
      <c r="E201" s="10">
        <v>215.385</v>
      </c>
      <c r="F201" s="12">
        <v>3778.87968</v>
      </c>
      <c r="G201" s="27">
        <f t="shared" si="4"/>
        <v>813913.9998768</v>
      </c>
    </row>
    <row r="202" spans="2:7" ht="24">
      <c r="B202" s="21">
        <v>196</v>
      </c>
      <c r="C202" s="5" t="s">
        <v>868</v>
      </c>
      <c r="D202" s="5" t="s">
        <v>753</v>
      </c>
      <c r="E202" s="10">
        <v>200</v>
      </c>
      <c r="F202" s="12">
        <v>7533.646559999999</v>
      </c>
      <c r="G202" s="27">
        <f t="shared" si="4"/>
        <v>1506729.312</v>
      </c>
    </row>
    <row r="203" spans="2:7" ht="24">
      <c r="B203" s="21">
        <v>197</v>
      </c>
      <c r="C203" s="5" t="s">
        <v>869</v>
      </c>
      <c r="D203" s="5" t="s">
        <v>753</v>
      </c>
      <c r="E203" s="10">
        <v>100</v>
      </c>
      <c r="F203" s="12">
        <v>13860.245519999999</v>
      </c>
      <c r="G203" s="27">
        <f t="shared" si="4"/>
        <v>1386024.552</v>
      </c>
    </row>
    <row r="204" spans="2:7" ht="12">
      <c r="B204" s="21">
        <v>198</v>
      </c>
      <c r="C204" s="5" t="s">
        <v>870</v>
      </c>
      <c r="D204" s="5" t="s">
        <v>753</v>
      </c>
      <c r="E204" s="10">
        <v>100</v>
      </c>
      <c r="F204" s="12">
        <v>140.31936</v>
      </c>
      <c r="G204" s="27">
        <f t="shared" si="4"/>
        <v>14031.936</v>
      </c>
    </row>
    <row r="205" spans="2:7" ht="12">
      <c r="B205" s="21">
        <v>199</v>
      </c>
      <c r="C205" s="5" t="s">
        <v>871</v>
      </c>
      <c r="D205" s="5" t="s">
        <v>755</v>
      </c>
      <c r="E205" s="10">
        <v>82.3</v>
      </c>
      <c r="F205" s="12">
        <v>381.83903999999995</v>
      </c>
      <c r="G205" s="27">
        <f t="shared" si="4"/>
        <v>31425.352991999996</v>
      </c>
    </row>
    <row r="206" spans="2:7" ht="12">
      <c r="B206" s="21">
        <v>200</v>
      </c>
      <c r="C206" s="5" t="s">
        <v>872</v>
      </c>
      <c r="D206" s="5" t="s">
        <v>755</v>
      </c>
      <c r="E206" s="10">
        <v>102.8</v>
      </c>
      <c r="F206" s="12">
        <v>56.108160000000005</v>
      </c>
      <c r="G206" s="27">
        <f t="shared" si="4"/>
        <v>5767.918848</v>
      </c>
    </row>
    <row r="207" spans="2:7" ht="12">
      <c r="B207" s="21">
        <v>201</v>
      </c>
      <c r="C207" s="5" t="s">
        <v>873</v>
      </c>
      <c r="D207" s="5" t="s">
        <v>766</v>
      </c>
      <c r="E207" s="10">
        <v>0.0588</v>
      </c>
      <c r="F207" s="12">
        <v>59723.990639999996</v>
      </c>
      <c r="G207" s="27">
        <f t="shared" si="4"/>
        <v>3511.7706496319997</v>
      </c>
    </row>
    <row r="208" spans="2:7" ht="12">
      <c r="B208" s="21">
        <v>202</v>
      </c>
      <c r="C208" s="5" t="s">
        <v>874</v>
      </c>
      <c r="D208" s="5" t="s">
        <v>753</v>
      </c>
      <c r="E208" s="10">
        <v>100</v>
      </c>
      <c r="F208" s="12">
        <v>583.4318400000001</v>
      </c>
      <c r="G208" s="27">
        <f t="shared" si="4"/>
        <v>58343.18400000001</v>
      </c>
    </row>
    <row r="209" spans="2:7" ht="12">
      <c r="B209" s="21">
        <v>203</v>
      </c>
      <c r="C209" s="5" t="s">
        <v>875</v>
      </c>
      <c r="D209" s="5" t="s">
        <v>753</v>
      </c>
      <c r="E209" s="10">
        <v>100</v>
      </c>
      <c r="F209" s="12">
        <v>515.40192</v>
      </c>
      <c r="G209" s="27">
        <f t="shared" si="4"/>
        <v>51540.192</v>
      </c>
    </row>
    <row r="210" spans="2:7" ht="24">
      <c r="B210" s="21">
        <v>204</v>
      </c>
      <c r="C210" s="5" t="s">
        <v>876</v>
      </c>
      <c r="D210" s="5" t="s">
        <v>877</v>
      </c>
      <c r="E210" s="10">
        <v>106</v>
      </c>
      <c r="F210" s="12">
        <v>263.2824</v>
      </c>
      <c r="G210" s="27">
        <f t="shared" si="4"/>
        <v>27907.9344</v>
      </c>
    </row>
    <row r="211" spans="2:7" ht="12">
      <c r="B211" s="21">
        <v>205</v>
      </c>
      <c r="C211" s="5" t="s">
        <v>878</v>
      </c>
      <c r="D211" s="5" t="s">
        <v>17</v>
      </c>
      <c r="E211" s="10">
        <v>1.2000864</v>
      </c>
      <c r="F211" s="12">
        <v>2968.5672</v>
      </c>
      <c r="G211" s="27">
        <f t="shared" si="4"/>
        <v>3562.53712420608</v>
      </c>
    </row>
    <row r="212" spans="2:7" ht="12">
      <c r="B212" s="21">
        <v>206</v>
      </c>
      <c r="C212" s="5" t="s">
        <v>879</v>
      </c>
      <c r="D212" s="5" t="s">
        <v>766</v>
      </c>
      <c r="E212" s="10">
        <v>0.5204</v>
      </c>
      <c r="F212" s="12">
        <v>4791.15216</v>
      </c>
      <c r="G212" s="27">
        <f t="shared" si="4"/>
        <v>2493.3155840639997</v>
      </c>
    </row>
    <row r="213" spans="2:7" ht="12">
      <c r="B213" s="21">
        <v>207</v>
      </c>
      <c r="C213" s="5" t="s">
        <v>880</v>
      </c>
      <c r="D213" s="5" t="s">
        <v>755</v>
      </c>
      <c r="E213" s="10">
        <v>15.581</v>
      </c>
      <c r="F213" s="12">
        <v>18.75168</v>
      </c>
      <c r="G213" s="27">
        <f t="shared" si="4"/>
        <v>292.16992608</v>
      </c>
    </row>
    <row r="214" spans="2:7" ht="12">
      <c r="B214" s="21">
        <v>208</v>
      </c>
      <c r="C214" s="5" t="s">
        <v>881</v>
      </c>
      <c r="D214" s="5" t="s">
        <v>755</v>
      </c>
      <c r="E214" s="10">
        <v>52.2</v>
      </c>
      <c r="F214" s="12">
        <v>398.09376</v>
      </c>
      <c r="G214" s="27">
        <f t="shared" si="4"/>
        <v>20780.494272</v>
      </c>
    </row>
    <row r="215" spans="2:7" ht="12">
      <c r="B215" s="21">
        <v>209</v>
      </c>
      <c r="C215" s="5" t="s">
        <v>882</v>
      </c>
      <c r="D215" s="5" t="s">
        <v>627</v>
      </c>
      <c r="E215" s="10">
        <v>0.26</v>
      </c>
      <c r="F215" s="12">
        <v>62.338319999999996</v>
      </c>
      <c r="G215" s="27">
        <f t="shared" si="4"/>
        <v>16.2079632</v>
      </c>
    </row>
    <row r="216" spans="2:7" ht="24">
      <c r="B216" s="21">
        <v>210</v>
      </c>
      <c r="C216" s="5" t="s">
        <v>883</v>
      </c>
      <c r="D216" s="5" t="s">
        <v>884</v>
      </c>
      <c r="E216" s="10">
        <v>0.041</v>
      </c>
      <c r="F216" s="12">
        <v>994.04712</v>
      </c>
      <c r="G216" s="27">
        <f t="shared" si="4"/>
        <v>40.75593192</v>
      </c>
    </row>
    <row r="217" spans="2:7" ht="12">
      <c r="B217" s="21">
        <v>211</v>
      </c>
      <c r="C217" s="5" t="s">
        <v>885</v>
      </c>
      <c r="D217" s="5" t="s">
        <v>766</v>
      </c>
      <c r="E217" s="10">
        <v>0.002</v>
      </c>
      <c r="F217" s="12">
        <v>255830.78592</v>
      </c>
      <c r="G217" s="27">
        <f t="shared" si="4"/>
        <v>511.66157184</v>
      </c>
    </row>
    <row r="218" spans="2:7" ht="12">
      <c r="B218" s="21">
        <v>212</v>
      </c>
      <c r="C218" s="5" t="s">
        <v>886</v>
      </c>
      <c r="D218" s="5" t="s">
        <v>755</v>
      </c>
      <c r="E218" s="10">
        <v>0.0035</v>
      </c>
      <c r="F218" s="12">
        <v>209.86704</v>
      </c>
      <c r="G218" s="27">
        <f t="shared" si="4"/>
        <v>0.73453464</v>
      </c>
    </row>
    <row r="219" spans="2:7" ht="12">
      <c r="B219" s="21">
        <v>213</v>
      </c>
      <c r="C219" s="5" t="s">
        <v>887</v>
      </c>
      <c r="D219" s="5" t="s">
        <v>766</v>
      </c>
      <c r="E219" s="10">
        <v>0.00312</v>
      </c>
      <c r="F219" s="12">
        <v>71669.58192</v>
      </c>
      <c r="G219" s="27">
        <f t="shared" si="4"/>
        <v>223.6090955904</v>
      </c>
    </row>
    <row r="220" spans="2:7" ht="12">
      <c r="B220" s="21">
        <v>214</v>
      </c>
      <c r="C220" s="5" t="s">
        <v>888</v>
      </c>
      <c r="D220" s="5" t="s">
        <v>889</v>
      </c>
      <c r="E220" s="10">
        <v>1</v>
      </c>
      <c r="F220" s="12">
        <v>27580.52664</v>
      </c>
      <c r="G220" s="27">
        <f t="shared" si="4"/>
        <v>27580.52664</v>
      </c>
    </row>
    <row r="221" spans="2:7" ht="12">
      <c r="B221" s="21">
        <v>215</v>
      </c>
      <c r="C221" s="5" t="s">
        <v>890</v>
      </c>
      <c r="D221" s="5" t="s">
        <v>889</v>
      </c>
      <c r="E221" s="10">
        <v>1</v>
      </c>
      <c r="F221" s="12">
        <v>14366.32056</v>
      </c>
      <c r="G221" s="27">
        <f t="shared" si="4"/>
        <v>14366.32056</v>
      </c>
    </row>
    <row r="222" spans="2:7" ht="12">
      <c r="B222" s="21">
        <v>216</v>
      </c>
      <c r="C222" s="5" t="s">
        <v>891</v>
      </c>
      <c r="D222" s="5" t="s">
        <v>766</v>
      </c>
      <c r="E222" s="10">
        <v>0.37019636</v>
      </c>
      <c r="F222" s="12">
        <v>72055.75392</v>
      </c>
      <c r="G222" s="27">
        <f t="shared" si="4"/>
        <v>26674.777818239734</v>
      </c>
    </row>
    <row r="223" spans="2:7" ht="24">
      <c r="B223" s="21">
        <v>217</v>
      </c>
      <c r="C223" s="5" t="s">
        <v>892</v>
      </c>
      <c r="D223" s="5" t="s">
        <v>820</v>
      </c>
      <c r="E223" s="10">
        <v>15.6</v>
      </c>
      <c r="F223" s="12">
        <v>7108.0005599999995</v>
      </c>
      <c r="G223" s="27">
        <f t="shared" si="4"/>
        <v>110884.80873599999</v>
      </c>
    </row>
    <row r="224" spans="2:7" ht="24">
      <c r="B224" s="21">
        <v>218</v>
      </c>
      <c r="C224" s="5" t="s">
        <v>893</v>
      </c>
      <c r="D224" s="5" t="s">
        <v>820</v>
      </c>
      <c r="E224" s="10">
        <v>0.082</v>
      </c>
      <c r="F224" s="12">
        <v>16359.28632</v>
      </c>
      <c r="G224" s="27">
        <f t="shared" si="4"/>
        <v>1341.46147824</v>
      </c>
    </row>
    <row r="225" spans="2:7" ht="12">
      <c r="B225" s="21">
        <v>219</v>
      </c>
      <c r="C225" s="5" t="s">
        <v>894</v>
      </c>
      <c r="D225" s="5" t="s">
        <v>17</v>
      </c>
      <c r="E225" s="10">
        <v>12.53</v>
      </c>
      <c r="F225" s="12">
        <v>43.525439999999996</v>
      </c>
      <c r="G225" s="27">
        <f aca="true" t="shared" si="5" ref="G225:G288">E225*F225</f>
        <v>545.3737631999999</v>
      </c>
    </row>
    <row r="226" spans="2:7" ht="12">
      <c r="B226" s="21">
        <v>220</v>
      </c>
      <c r="C226" s="5" t="s">
        <v>895</v>
      </c>
      <c r="D226" s="5" t="s">
        <v>753</v>
      </c>
      <c r="E226" s="10">
        <v>1</v>
      </c>
      <c r="F226" s="12">
        <v>10807.442640000001</v>
      </c>
      <c r="G226" s="27">
        <f t="shared" si="5"/>
        <v>10807.442640000001</v>
      </c>
    </row>
    <row r="227" spans="2:7" ht="12">
      <c r="B227" s="21">
        <v>221</v>
      </c>
      <c r="C227" s="5" t="s">
        <v>896</v>
      </c>
      <c r="D227" s="5" t="s">
        <v>753</v>
      </c>
      <c r="E227" s="10">
        <v>1</v>
      </c>
      <c r="F227" s="12">
        <v>13573.339919999999</v>
      </c>
      <c r="G227" s="27">
        <f t="shared" si="5"/>
        <v>13573.339919999999</v>
      </c>
    </row>
    <row r="228" spans="2:7" ht="12">
      <c r="B228" s="21">
        <v>222</v>
      </c>
      <c r="C228" s="5" t="s">
        <v>897</v>
      </c>
      <c r="D228" s="5" t="s">
        <v>753</v>
      </c>
      <c r="E228" s="10">
        <v>1</v>
      </c>
      <c r="F228" s="12">
        <v>15802.133759999999</v>
      </c>
      <c r="G228" s="27">
        <f t="shared" si="5"/>
        <v>15802.133759999999</v>
      </c>
    </row>
    <row r="229" spans="2:7" ht="12">
      <c r="B229" s="21">
        <v>223</v>
      </c>
      <c r="C229" s="5" t="s">
        <v>898</v>
      </c>
      <c r="D229" s="5" t="s">
        <v>753</v>
      </c>
      <c r="E229" s="10">
        <v>1</v>
      </c>
      <c r="F229" s="12">
        <v>17390.910239999997</v>
      </c>
      <c r="G229" s="27">
        <f t="shared" si="5"/>
        <v>17390.910239999997</v>
      </c>
    </row>
    <row r="230" spans="2:7" ht="12">
      <c r="B230" s="21">
        <v>224</v>
      </c>
      <c r="C230" s="5" t="s">
        <v>899</v>
      </c>
      <c r="D230" s="5" t="s">
        <v>755</v>
      </c>
      <c r="E230" s="10">
        <v>4</v>
      </c>
      <c r="F230" s="12">
        <v>343.16064</v>
      </c>
      <c r="G230" s="27">
        <f t="shared" si="5"/>
        <v>1372.64256</v>
      </c>
    </row>
    <row r="231" spans="2:7" ht="12">
      <c r="B231" s="21">
        <v>225</v>
      </c>
      <c r="C231" s="5" t="s">
        <v>900</v>
      </c>
      <c r="D231" s="5" t="s">
        <v>766</v>
      </c>
      <c r="E231" s="10">
        <v>0.003247</v>
      </c>
      <c r="F231" s="12">
        <v>258317.62344</v>
      </c>
      <c r="G231" s="27">
        <f t="shared" si="5"/>
        <v>838.7573233096799</v>
      </c>
    </row>
    <row r="232" spans="2:7" ht="12">
      <c r="B232" s="21">
        <v>226</v>
      </c>
      <c r="C232" s="5" t="s">
        <v>901</v>
      </c>
      <c r="D232" s="5" t="s">
        <v>755</v>
      </c>
      <c r="E232" s="10">
        <v>1.753</v>
      </c>
      <c r="F232" s="12">
        <v>81.04104</v>
      </c>
      <c r="G232" s="27">
        <f t="shared" si="5"/>
        <v>142.06494311999998</v>
      </c>
    </row>
    <row r="233" spans="2:7" ht="12">
      <c r="B233" s="21">
        <v>227</v>
      </c>
      <c r="C233" s="5" t="s">
        <v>902</v>
      </c>
      <c r="D233" s="5" t="s">
        <v>17</v>
      </c>
      <c r="E233" s="10">
        <v>0.042</v>
      </c>
      <c r="F233" s="12">
        <v>4228.80984</v>
      </c>
      <c r="G233" s="27">
        <f t="shared" si="5"/>
        <v>177.61001328</v>
      </c>
    </row>
    <row r="234" spans="2:7" ht="12">
      <c r="B234" s="21">
        <v>228</v>
      </c>
      <c r="C234" s="5" t="s">
        <v>903</v>
      </c>
      <c r="D234" s="5" t="s">
        <v>755</v>
      </c>
      <c r="E234" s="10">
        <v>125.75</v>
      </c>
      <c r="F234" s="12">
        <v>172.20456000000001</v>
      </c>
      <c r="G234" s="27">
        <f t="shared" si="5"/>
        <v>21654.723420000002</v>
      </c>
    </row>
    <row r="235" spans="2:7" ht="24">
      <c r="B235" s="21">
        <v>229</v>
      </c>
      <c r="C235" s="5" t="s">
        <v>904</v>
      </c>
      <c r="D235" s="5" t="s">
        <v>755</v>
      </c>
      <c r="E235" s="10">
        <v>5.6</v>
      </c>
      <c r="F235" s="12">
        <v>169.29144</v>
      </c>
      <c r="G235" s="27">
        <f t="shared" si="5"/>
        <v>948.0320639999999</v>
      </c>
    </row>
    <row r="236" spans="2:7" ht="12">
      <c r="B236" s="21">
        <v>230</v>
      </c>
      <c r="C236" s="5" t="s">
        <v>905</v>
      </c>
      <c r="D236" s="5" t="s">
        <v>755</v>
      </c>
      <c r="E236" s="10">
        <v>0.19918276</v>
      </c>
      <c r="F236" s="12">
        <v>169.29144</v>
      </c>
      <c r="G236" s="27">
        <f t="shared" si="5"/>
        <v>33.7199362635744</v>
      </c>
    </row>
    <row r="237" spans="2:7" ht="12">
      <c r="B237" s="21">
        <v>231</v>
      </c>
      <c r="C237" s="5" t="s">
        <v>906</v>
      </c>
      <c r="D237" s="5" t="s">
        <v>753</v>
      </c>
      <c r="E237" s="10">
        <v>200</v>
      </c>
      <c r="F237" s="12">
        <v>52.938</v>
      </c>
      <c r="G237" s="27">
        <f t="shared" si="5"/>
        <v>10587.6</v>
      </c>
    </row>
    <row r="238" spans="2:7" ht="12">
      <c r="B238" s="21">
        <v>232</v>
      </c>
      <c r="C238" s="5" t="s">
        <v>907</v>
      </c>
      <c r="D238" s="5" t="s">
        <v>753</v>
      </c>
      <c r="E238" s="10">
        <v>2</v>
      </c>
      <c r="F238" s="12">
        <v>124.24824000000001</v>
      </c>
      <c r="G238" s="27">
        <f t="shared" si="5"/>
        <v>248.49648000000002</v>
      </c>
    </row>
    <row r="239" spans="2:7" ht="12">
      <c r="B239" s="21">
        <v>233</v>
      </c>
      <c r="C239" s="5" t="s">
        <v>908</v>
      </c>
      <c r="D239" s="5" t="s">
        <v>753</v>
      </c>
      <c r="E239" s="10">
        <v>100</v>
      </c>
      <c r="F239" s="12">
        <v>777.83976</v>
      </c>
      <c r="G239" s="27">
        <f t="shared" si="5"/>
        <v>77783.976</v>
      </c>
    </row>
    <row r="240" spans="2:7" ht="12">
      <c r="B240" s="21">
        <v>234</v>
      </c>
      <c r="C240" s="5" t="s">
        <v>909</v>
      </c>
      <c r="D240" s="5" t="s">
        <v>753</v>
      </c>
      <c r="E240" s="10">
        <v>10</v>
      </c>
      <c r="F240" s="12">
        <v>630.2498400000001</v>
      </c>
      <c r="G240" s="27">
        <f t="shared" si="5"/>
        <v>6302.4984</v>
      </c>
    </row>
    <row r="241" spans="2:7" ht="12">
      <c r="B241" s="21">
        <v>235</v>
      </c>
      <c r="C241" s="5" t="s">
        <v>910</v>
      </c>
      <c r="D241" s="5" t="s">
        <v>762</v>
      </c>
      <c r="E241" s="10">
        <v>20</v>
      </c>
      <c r="F241" s="12">
        <v>820.3737600000001</v>
      </c>
      <c r="G241" s="27">
        <f t="shared" si="5"/>
        <v>16407.4752</v>
      </c>
    </row>
    <row r="242" spans="2:7" ht="24">
      <c r="B242" s="21">
        <v>236</v>
      </c>
      <c r="C242" s="5" t="s">
        <v>911</v>
      </c>
      <c r="D242" s="5" t="s">
        <v>753</v>
      </c>
      <c r="E242" s="10">
        <v>100</v>
      </c>
      <c r="F242" s="12">
        <v>95.49647999999999</v>
      </c>
      <c r="G242" s="27">
        <f t="shared" si="5"/>
        <v>9549.648</v>
      </c>
    </row>
    <row r="243" spans="2:7" ht="24">
      <c r="B243" s="21">
        <v>237</v>
      </c>
      <c r="C243" s="5" t="s">
        <v>912</v>
      </c>
      <c r="D243" s="5" t="s">
        <v>753</v>
      </c>
      <c r="E243" s="10">
        <v>100</v>
      </c>
      <c r="F243" s="12">
        <v>158.39784</v>
      </c>
      <c r="G243" s="27">
        <f t="shared" si="5"/>
        <v>15839.784</v>
      </c>
    </row>
    <row r="244" spans="2:7" ht="12">
      <c r="B244" s="21">
        <v>238</v>
      </c>
      <c r="C244" s="5" t="s">
        <v>913</v>
      </c>
      <c r="D244" s="5" t="s">
        <v>766</v>
      </c>
      <c r="E244" s="10">
        <v>0.00134</v>
      </c>
      <c r="F244" s="12">
        <v>47921.64408</v>
      </c>
      <c r="G244" s="27">
        <f t="shared" si="5"/>
        <v>64.2150030672</v>
      </c>
    </row>
    <row r="245" spans="2:7" ht="12">
      <c r="B245" s="21">
        <v>239</v>
      </c>
      <c r="C245" s="5" t="s">
        <v>914</v>
      </c>
      <c r="D245" s="5" t="s">
        <v>766</v>
      </c>
      <c r="E245" s="10">
        <v>0.01954</v>
      </c>
      <c r="F245" s="12">
        <v>65137.64472</v>
      </c>
      <c r="G245" s="27">
        <f t="shared" si="5"/>
        <v>1272.7895778287998</v>
      </c>
    </row>
    <row r="246" spans="2:7" ht="12">
      <c r="B246" s="21">
        <v>240</v>
      </c>
      <c r="C246" s="5" t="s">
        <v>915</v>
      </c>
      <c r="D246" s="5" t="s">
        <v>766</v>
      </c>
      <c r="E246" s="10">
        <v>0.0735</v>
      </c>
      <c r="F246" s="12">
        <v>97305.76008000001</v>
      </c>
      <c r="G246" s="27">
        <f t="shared" si="5"/>
        <v>7151.9733658800005</v>
      </c>
    </row>
    <row r="247" spans="2:7" ht="12">
      <c r="B247" s="21">
        <v>241</v>
      </c>
      <c r="C247" s="5" t="s">
        <v>916</v>
      </c>
      <c r="D247" s="5" t="s">
        <v>766</v>
      </c>
      <c r="E247" s="10">
        <v>0.00262</v>
      </c>
      <c r="F247" s="12">
        <v>117496.044</v>
      </c>
      <c r="G247" s="27">
        <f t="shared" si="5"/>
        <v>307.83963528</v>
      </c>
    </row>
    <row r="248" spans="2:7" ht="24">
      <c r="B248" s="21">
        <v>242</v>
      </c>
      <c r="C248" s="5" t="s">
        <v>917</v>
      </c>
      <c r="D248" s="5" t="s">
        <v>766</v>
      </c>
      <c r="E248" s="10">
        <v>0.12024</v>
      </c>
      <c r="F248" s="12">
        <v>84825.17064</v>
      </c>
      <c r="G248" s="27">
        <f t="shared" si="5"/>
        <v>10199.3785177536</v>
      </c>
    </row>
    <row r="249" spans="2:7" ht="24">
      <c r="B249" s="21">
        <v>243</v>
      </c>
      <c r="C249" s="5" t="s">
        <v>918</v>
      </c>
      <c r="D249" s="5" t="s">
        <v>766</v>
      </c>
      <c r="E249" s="10">
        <v>0.0491</v>
      </c>
      <c r="F249" s="12">
        <v>82095.79752000001</v>
      </c>
      <c r="G249" s="27">
        <f t="shared" si="5"/>
        <v>4030.903658232</v>
      </c>
    </row>
    <row r="250" spans="2:7" ht="12">
      <c r="B250" s="21">
        <v>244</v>
      </c>
      <c r="C250" s="5" t="s">
        <v>919</v>
      </c>
      <c r="D250" s="5" t="s">
        <v>766</v>
      </c>
      <c r="E250" s="10">
        <v>0.028</v>
      </c>
      <c r="F250" s="25">
        <v>150000.47</v>
      </c>
      <c r="G250" s="27">
        <f t="shared" si="5"/>
        <v>4200.01316</v>
      </c>
    </row>
    <row r="251" spans="2:7" ht="12">
      <c r="B251" s="21">
        <v>245</v>
      </c>
      <c r="C251" s="5" t="s">
        <v>920</v>
      </c>
      <c r="D251" s="5" t="s">
        <v>766</v>
      </c>
      <c r="E251" s="10">
        <v>0.0026</v>
      </c>
      <c r="F251" s="12">
        <v>33784.94592</v>
      </c>
      <c r="G251" s="27">
        <f t="shared" si="5"/>
        <v>87.84085939199998</v>
      </c>
    </row>
    <row r="252" spans="2:7" ht="12">
      <c r="B252" s="21">
        <v>246</v>
      </c>
      <c r="C252" s="5" t="s">
        <v>921</v>
      </c>
      <c r="D252" s="5" t="s">
        <v>766</v>
      </c>
      <c r="E252" s="10">
        <v>0.00731</v>
      </c>
      <c r="F252" s="12">
        <v>53792.658</v>
      </c>
      <c r="G252" s="27">
        <f t="shared" si="5"/>
        <v>393.22432998</v>
      </c>
    </row>
    <row r="253" spans="2:7" ht="12">
      <c r="B253" s="21">
        <v>247</v>
      </c>
      <c r="C253" s="5" t="s">
        <v>922</v>
      </c>
      <c r="D253" s="5" t="s">
        <v>627</v>
      </c>
      <c r="E253" s="10">
        <v>1.35</v>
      </c>
      <c r="F253" s="12">
        <v>14.05152</v>
      </c>
      <c r="G253" s="27">
        <f t="shared" si="5"/>
        <v>18.969552</v>
      </c>
    </row>
    <row r="254" spans="2:7" ht="12">
      <c r="B254" s="21">
        <v>248</v>
      </c>
      <c r="C254" s="5" t="s">
        <v>923</v>
      </c>
      <c r="D254" s="5" t="s">
        <v>755</v>
      </c>
      <c r="E254" s="10">
        <v>1117.492</v>
      </c>
      <c r="F254" s="12">
        <v>56.74464</v>
      </c>
      <c r="G254" s="27">
        <f t="shared" si="5"/>
        <v>63411.68124288</v>
      </c>
    </row>
    <row r="255" spans="2:7" ht="12">
      <c r="B255" s="21">
        <v>249</v>
      </c>
      <c r="C255" s="5" t="s">
        <v>924</v>
      </c>
      <c r="D255" s="5" t="s">
        <v>766</v>
      </c>
      <c r="E255" s="10">
        <v>0.00023</v>
      </c>
      <c r="F255" s="12">
        <v>172307.98799999998</v>
      </c>
      <c r="G255" s="27">
        <f t="shared" si="5"/>
        <v>39.63083724</v>
      </c>
    </row>
    <row r="256" spans="2:7" ht="12">
      <c r="B256" s="21">
        <v>250</v>
      </c>
      <c r="C256" s="5" t="s">
        <v>925</v>
      </c>
      <c r="D256" s="5" t="s">
        <v>753</v>
      </c>
      <c r="E256" s="10">
        <v>1</v>
      </c>
      <c r="F256" s="12">
        <v>1072.53</v>
      </c>
      <c r="G256" s="27">
        <f t="shared" si="5"/>
        <v>1072.53</v>
      </c>
    </row>
    <row r="257" spans="2:7" ht="12">
      <c r="B257" s="21">
        <v>251</v>
      </c>
      <c r="C257" s="5" t="s">
        <v>926</v>
      </c>
      <c r="D257" s="5" t="s">
        <v>766</v>
      </c>
      <c r="E257" s="10">
        <v>0.00084</v>
      </c>
      <c r="F257" s="12">
        <v>60338.65896</v>
      </c>
      <c r="G257" s="27">
        <f t="shared" si="5"/>
        <v>50.684473526400005</v>
      </c>
    </row>
    <row r="258" spans="2:7" ht="12">
      <c r="B258" s="21">
        <v>252</v>
      </c>
      <c r="C258" s="5" t="s">
        <v>927</v>
      </c>
      <c r="D258" s="5" t="s">
        <v>753</v>
      </c>
      <c r="E258" s="10">
        <v>100</v>
      </c>
      <c r="F258" s="12">
        <v>50.122800000000005</v>
      </c>
      <c r="G258" s="27">
        <f t="shared" si="5"/>
        <v>5012.280000000001</v>
      </c>
    </row>
    <row r="259" spans="2:7" ht="12">
      <c r="B259" s="21">
        <v>253</v>
      </c>
      <c r="C259" s="5" t="s">
        <v>928</v>
      </c>
      <c r="D259" s="5" t="s">
        <v>753</v>
      </c>
      <c r="E259" s="10">
        <v>1</v>
      </c>
      <c r="F259" s="25">
        <v>12</v>
      </c>
      <c r="G259" s="27">
        <f t="shared" si="5"/>
        <v>12</v>
      </c>
    </row>
    <row r="260" spans="2:7" ht="12">
      <c r="B260" s="21">
        <v>254</v>
      </c>
      <c r="C260" s="5" t="s">
        <v>929</v>
      </c>
      <c r="D260" s="5" t="s">
        <v>755</v>
      </c>
      <c r="E260" s="10">
        <v>50.518</v>
      </c>
      <c r="F260" s="12">
        <v>113.4648</v>
      </c>
      <c r="G260" s="27">
        <f t="shared" si="5"/>
        <v>5732.0147664</v>
      </c>
    </row>
    <row r="261" spans="2:7" ht="24">
      <c r="B261" s="21">
        <v>255</v>
      </c>
      <c r="C261" s="5" t="s">
        <v>930</v>
      </c>
      <c r="D261" s="5" t="s">
        <v>755</v>
      </c>
      <c r="E261" s="10">
        <v>200.502</v>
      </c>
      <c r="F261" s="12">
        <v>139.25448</v>
      </c>
      <c r="G261" s="27">
        <f t="shared" si="5"/>
        <v>27920.801748960002</v>
      </c>
    </row>
    <row r="262" spans="2:7" ht="12">
      <c r="B262" s="21">
        <v>256</v>
      </c>
      <c r="C262" s="5" t="s">
        <v>931</v>
      </c>
      <c r="D262" s="5" t="s">
        <v>755</v>
      </c>
      <c r="E262" s="10">
        <v>5</v>
      </c>
      <c r="F262" s="12">
        <v>101.86128</v>
      </c>
      <c r="G262" s="27">
        <f t="shared" si="5"/>
        <v>509.30639999999994</v>
      </c>
    </row>
    <row r="263" spans="2:7" ht="36">
      <c r="B263" s="21">
        <v>257</v>
      </c>
      <c r="C263" s="5" t="s">
        <v>932</v>
      </c>
      <c r="D263" s="5" t="s">
        <v>766</v>
      </c>
      <c r="E263" s="10">
        <v>0.034</v>
      </c>
      <c r="F263" s="12">
        <v>42681.5532</v>
      </c>
      <c r="G263" s="27">
        <f t="shared" si="5"/>
        <v>1451.1728088000002</v>
      </c>
    </row>
    <row r="264" spans="2:7" ht="12">
      <c r="B264" s="21">
        <v>258</v>
      </c>
      <c r="C264" s="5" t="s">
        <v>933</v>
      </c>
      <c r="D264" s="5" t="s">
        <v>755</v>
      </c>
      <c r="E264" s="10">
        <v>0.004</v>
      </c>
      <c r="F264" s="12">
        <v>1396.87776</v>
      </c>
      <c r="G264" s="27">
        <f t="shared" si="5"/>
        <v>5.587511040000001</v>
      </c>
    </row>
    <row r="265" spans="2:7" ht="12">
      <c r="B265" s="21">
        <v>259</v>
      </c>
      <c r="C265" s="5" t="s">
        <v>934</v>
      </c>
      <c r="D265" s="5" t="s">
        <v>889</v>
      </c>
      <c r="E265" s="10">
        <v>1</v>
      </c>
      <c r="F265" s="12">
        <v>16748.94672</v>
      </c>
      <c r="G265" s="27">
        <f t="shared" si="5"/>
        <v>16748.94672</v>
      </c>
    </row>
    <row r="266" spans="2:7" ht="12">
      <c r="B266" s="21">
        <v>260</v>
      </c>
      <c r="C266" s="5" t="s">
        <v>935</v>
      </c>
      <c r="D266" s="5" t="s">
        <v>889</v>
      </c>
      <c r="E266" s="10">
        <v>1</v>
      </c>
      <c r="F266" s="12">
        <v>27455.164559999997</v>
      </c>
      <c r="G266" s="27">
        <f t="shared" si="5"/>
        <v>27455.164559999997</v>
      </c>
    </row>
    <row r="267" spans="2:7" ht="24">
      <c r="B267" s="21">
        <v>261</v>
      </c>
      <c r="C267" s="5" t="s">
        <v>936</v>
      </c>
      <c r="D267" s="5" t="s">
        <v>627</v>
      </c>
      <c r="E267" s="10">
        <v>1.02</v>
      </c>
      <c r="F267" s="12">
        <v>492.32952</v>
      </c>
      <c r="G267" s="27">
        <f t="shared" si="5"/>
        <v>502.1761104</v>
      </c>
    </row>
    <row r="268" spans="2:7" ht="24">
      <c r="B268" s="21">
        <v>262</v>
      </c>
      <c r="C268" s="5" t="s">
        <v>937</v>
      </c>
      <c r="D268" s="5" t="s">
        <v>627</v>
      </c>
      <c r="E268" s="10">
        <v>135</v>
      </c>
      <c r="F268" s="12">
        <v>101.64095999999999</v>
      </c>
      <c r="G268" s="27">
        <f t="shared" si="5"/>
        <v>13721.5296</v>
      </c>
    </row>
    <row r="269" spans="2:7" ht="24">
      <c r="B269" s="21">
        <v>263</v>
      </c>
      <c r="C269" s="5" t="s">
        <v>938</v>
      </c>
      <c r="D269" s="5" t="s">
        <v>766</v>
      </c>
      <c r="E269" s="10">
        <v>0.00042</v>
      </c>
      <c r="F269" s="12">
        <v>650396.5250399999</v>
      </c>
      <c r="G269" s="27">
        <f t="shared" si="5"/>
        <v>273.16654051679996</v>
      </c>
    </row>
    <row r="270" spans="2:7" ht="12">
      <c r="B270" s="21">
        <v>264</v>
      </c>
      <c r="C270" s="5" t="s">
        <v>939</v>
      </c>
      <c r="D270" s="5" t="s">
        <v>753</v>
      </c>
      <c r="E270" s="10">
        <v>1</v>
      </c>
      <c r="F270" s="12">
        <v>3158.1403199999995</v>
      </c>
      <c r="G270" s="27">
        <f t="shared" si="5"/>
        <v>3158.1403199999995</v>
      </c>
    </row>
    <row r="271" spans="2:7" ht="12">
      <c r="B271" s="21">
        <v>265</v>
      </c>
      <c r="C271" s="5" t="s">
        <v>940</v>
      </c>
      <c r="D271" s="5" t="s">
        <v>889</v>
      </c>
      <c r="E271" s="10">
        <v>2</v>
      </c>
      <c r="F271" s="12">
        <v>238.32504</v>
      </c>
      <c r="G271" s="27">
        <f t="shared" si="5"/>
        <v>476.65008</v>
      </c>
    </row>
    <row r="272" spans="2:7" ht="12">
      <c r="B272" s="21">
        <v>266</v>
      </c>
      <c r="C272" s="5" t="s">
        <v>941</v>
      </c>
      <c r="D272" s="5" t="s">
        <v>766</v>
      </c>
      <c r="E272" s="10">
        <v>0.0001</v>
      </c>
      <c r="F272" s="12">
        <v>57415.84488</v>
      </c>
      <c r="G272" s="27">
        <f t="shared" si="5"/>
        <v>5.741584488</v>
      </c>
    </row>
    <row r="273" spans="2:7" ht="12">
      <c r="B273" s="21">
        <v>267</v>
      </c>
      <c r="C273" s="5" t="s">
        <v>942</v>
      </c>
      <c r="D273" s="5" t="s">
        <v>755</v>
      </c>
      <c r="E273" s="10">
        <v>57.9</v>
      </c>
      <c r="F273" s="12">
        <v>81.61632000000002</v>
      </c>
      <c r="G273" s="27">
        <f t="shared" si="5"/>
        <v>4725.584928000001</v>
      </c>
    </row>
    <row r="274" spans="2:7" ht="12">
      <c r="B274" s="21">
        <v>268</v>
      </c>
      <c r="C274" s="5" t="s">
        <v>943</v>
      </c>
      <c r="D274" s="5" t="s">
        <v>766</v>
      </c>
      <c r="E274" s="10">
        <v>0.0118</v>
      </c>
      <c r="F274" s="12">
        <v>79901.6796</v>
      </c>
      <c r="G274" s="27">
        <f t="shared" si="5"/>
        <v>942.83981928</v>
      </c>
    </row>
    <row r="275" spans="2:7" ht="12">
      <c r="B275" s="21">
        <v>269</v>
      </c>
      <c r="C275" s="5" t="s">
        <v>944</v>
      </c>
      <c r="D275" s="5" t="s">
        <v>766</v>
      </c>
      <c r="E275" s="10">
        <v>0.8834</v>
      </c>
      <c r="F275" s="12">
        <v>33065.47872</v>
      </c>
      <c r="G275" s="27">
        <f t="shared" si="5"/>
        <v>29210.043901248</v>
      </c>
    </row>
    <row r="276" spans="2:7" ht="12">
      <c r="B276" s="21">
        <v>270</v>
      </c>
      <c r="C276" s="5" t="s">
        <v>945</v>
      </c>
      <c r="D276" s="5" t="s">
        <v>766</v>
      </c>
      <c r="E276" s="10">
        <v>0.3762</v>
      </c>
      <c r="F276" s="12">
        <v>71132.23368</v>
      </c>
      <c r="G276" s="27">
        <f t="shared" si="5"/>
        <v>26759.946310416</v>
      </c>
    </row>
    <row r="277" spans="2:7" ht="12">
      <c r="B277" s="21">
        <v>271</v>
      </c>
      <c r="C277" s="5" t="s">
        <v>946</v>
      </c>
      <c r="D277" s="5" t="s">
        <v>766</v>
      </c>
      <c r="E277" s="10">
        <v>0.048</v>
      </c>
      <c r="F277" s="12">
        <v>73370.07288</v>
      </c>
      <c r="G277" s="27">
        <f t="shared" si="5"/>
        <v>3521.7634982400004</v>
      </c>
    </row>
    <row r="278" spans="2:7" ht="12">
      <c r="B278" s="21">
        <v>272</v>
      </c>
      <c r="C278" s="5" t="s">
        <v>947</v>
      </c>
      <c r="D278" s="5" t="s">
        <v>766</v>
      </c>
      <c r="E278" s="10">
        <v>0.00135</v>
      </c>
      <c r="F278" s="12">
        <v>97275.89448</v>
      </c>
      <c r="G278" s="27">
        <f t="shared" si="5"/>
        <v>131.32245754800002</v>
      </c>
    </row>
    <row r="279" spans="2:7" ht="12">
      <c r="B279" s="21">
        <v>273</v>
      </c>
      <c r="C279" s="5" t="s">
        <v>948</v>
      </c>
      <c r="D279" s="5" t="s">
        <v>766</v>
      </c>
      <c r="E279" s="10">
        <v>0.00051</v>
      </c>
      <c r="F279" s="12">
        <v>164569.48056000003</v>
      </c>
      <c r="G279" s="27">
        <f t="shared" si="5"/>
        <v>83.93043508560002</v>
      </c>
    </row>
    <row r="280" spans="2:7" ht="24">
      <c r="B280" s="21">
        <v>274</v>
      </c>
      <c r="C280" s="5" t="s">
        <v>949</v>
      </c>
      <c r="D280" s="5" t="s">
        <v>17</v>
      </c>
      <c r="E280" s="10">
        <v>0.0665</v>
      </c>
      <c r="F280" s="12">
        <v>2783.0577599999997</v>
      </c>
      <c r="G280" s="27">
        <f t="shared" si="5"/>
        <v>185.07334104</v>
      </c>
    </row>
    <row r="281" spans="2:7" ht="12">
      <c r="B281" s="21">
        <v>275</v>
      </c>
      <c r="C281" s="5" t="s">
        <v>950</v>
      </c>
      <c r="D281" s="5" t="s">
        <v>17</v>
      </c>
      <c r="E281" s="10">
        <v>3.1</v>
      </c>
      <c r="F281" s="12">
        <v>11759.43312</v>
      </c>
      <c r="G281" s="27">
        <f t="shared" si="5"/>
        <v>36454.242672</v>
      </c>
    </row>
    <row r="282" spans="2:7" ht="24">
      <c r="B282" s="21">
        <v>276</v>
      </c>
      <c r="C282" s="5" t="s">
        <v>951</v>
      </c>
      <c r="D282" s="5" t="s">
        <v>17</v>
      </c>
      <c r="E282" s="10">
        <v>26.2</v>
      </c>
      <c r="F282" s="12">
        <v>7001.3412</v>
      </c>
      <c r="G282" s="27">
        <f t="shared" si="5"/>
        <v>183435.13944</v>
      </c>
    </row>
    <row r="283" spans="2:7" ht="12">
      <c r="B283" s="21">
        <v>277</v>
      </c>
      <c r="C283" s="5" t="s">
        <v>952</v>
      </c>
      <c r="D283" s="5" t="s">
        <v>766</v>
      </c>
      <c r="E283" s="10">
        <v>0.01618</v>
      </c>
      <c r="F283" s="12">
        <v>9517.077360000001</v>
      </c>
      <c r="G283" s="27">
        <f t="shared" si="5"/>
        <v>153.98631168480003</v>
      </c>
    </row>
    <row r="284" spans="2:7" ht="12">
      <c r="B284" s="21">
        <v>278</v>
      </c>
      <c r="C284" s="5" t="s">
        <v>953</v>
      </c>
      <c r="D284" s="5" t="s">
        <v>954</v>
      </c>
      <c r="E284" s="10">
        <v>0.0072</v>
      </c>
      <c r="F284" s="12">
        <v>68304.75696</v>
      </c>
      <c r="G284" s="27">
        <f t="shared" si="5"/>
        <v>491.794250112</v>
      </c>
    </row>
    <row r="285" spans="2:7" ht="12">
      <c r="B285" s="21">
        <v>279</v>
      </c>
      <c r="C285" s="5" t="s">
        <v>955</v>
      </c>
      <c r="D285" s="5" t="s">
        <v>766</v>
      </c>
      <c r="E285" s="10">
        <v>0.0377</v>
      </c>
      <c r="F285" s="12">
        <v>61209.792</v>
      </c>
      <c r="G285" s="27">
        <f t="shared" si="5"/>
        <v>2307.6091584</v>
      </c>
    </row>
    <row r="286" spans="2:7" ht="12">
      <c r="B286" s="21">
        <v>280</v>
      </c>
      <c r="C286" s="5" t="s">
        <v>956</v>
      </c>
      <c r="D286" s="5" t="s">
        <v>814</v>
      </c>
      <c r="E286" s="10">
        <v>2</v>
      </c>
      <c r="F286" s="12">
        <v>2695.32144</v>
      </c>
      <c r="G286" s="27">
        <f t="shared" si="5"/>
        <v>5390.64288</v>
      </c>
    </row>
    <row r="287" spans="2:7" ht="12">
      <c r="B287" s="21">
        <v>281</v>
      </c>
      <c r="C287" s="5" t="s">
        <v>957</v>
      </c>
      <c r="D287" s="5" t="s">
        <v>766</v>
      </c>
      <c r="E287" s="10">
        <v>0.0007</v>
      </c>
      <c r="F287" s="12">
        <v>61209.792</v>
      </c>
      <c r="G287" s="27">
        <f t="shared" si="5"/>
        <v>42.8468544</v>
      </c>
    </row>
    <row r="288" spans="2:7" ht="12">
      <c r="B288" s="21">
        <v>282</v>
      </c>
      <c r="C288" s="5" t="s">
        <v>958</v>
      </c>
      <c r="D288" s="5" t="s">
        <v>820</v>
      </c>
      <c r="E288" s="10">
        <v>4.02928</v>
      </c>
      <c r="F288" s="12">
        <v>4702.31424</v>
      </c>
      <c r="G288" s="27">
        <f t="shared" si="5"/>
        <v>18946.940720947197</v>
      </c>
    </row>
    <row r="289" spans="2:7" ht="12">
      <c r="B289" s="21">
        <v>283</v>
      </c>
      <c r="C289" s="5" t="s">
        <v>959</v>
      </c>
      <c r="D289" s="5" t="s">
        <v>755</v>
      </c>
      <c r="E289" s="10">
        <v>7.1207</v>
      </c>
      <c r="F289" s="12">
        <v>406.62503999999996</v>
      </c>
      <c r="G289" s="27">
        <f aca="true" t="shared" si="6" ref="G289:G352">E289*F289</f>
        <v>2895.4549223279996</v>
      </c>
    </row>
    <row r="290" spans="2:7" ht="12">
      <c r="B290" s="21">
        <v>284</v>
      </c>
      <c r="C290" s="5" t="s">
        <v>960</v>
      </c>
      <c r="D290" s="5" t="s">
        <v>755</v>
      </c>
      <c r="E290" s="10">
        <v>1.667</v>
      </c>
      <c r="F290" s="12">
        <v>75.67992</v>
      </c>
      <c r="G290" s="27">
        <f t="shared" si="6"/>
        <v>126.15842664</v>
      </c>
    </row>
    <row r="291" spans="2:7" ht="12">
      <c r="B291" s="21">
        <v>285</v>
      </c>
      <c r="C291" s="5" t="s">
        <v>961</v>
      </c>
      <c r="D291" s="5" t="s">
        <v>753</v>
      </c>
      <c r="E291" s="10">
        <v>1.35</v>
      </c>
      <c r="F291" s="12">
        <v>11.113919999999998</v>
      </c>
      <c r="G291" s="27">
        <f t="shared" si="6"/>
        <v>15.003791999999999</v>
      </c>
    </row>
    <row r="292" spans="2:7" ht="24">
      <c r="B292" s="21">
        <v>286</v>
      </c>
      <c r="C292" s="5" t="s">
        <v>962</v>
      </c>
      <c r="D292" s="5" t="s">
        <v>766</v>
      </c>
      <c r="E292" s="10">
        <v>0.0625</v>
      </c>
      <c r="F292" s="12">
        <v>428522.20416</v>
      </c>
      <c r="G292" s="27">
        <f t="shared" si="6"/>
        <v>26782.63776</v>
      </c>
    </row>
    <row r="293" spans="2:7" ht="12">
      <c r="B293" s="21">
        <v>287</v>
      </c>
      <c r="C293" s="5" t="s">
        <v>963</v>
      </c>
      <c r="D293" s="5" t="s">
        <v>755</v>
      </c>
      <c r="E293" s="10">
        <v>3.9</v>
      </c>
      <c r="F293" s="12">
        <v>307.55448</v>
      </c>
      <c r="G293" s="27">
        <f t="shared" si="6"/>
        <v>1199.462472</v>
      </c>
    </row>
    <row r="294" spans="2:7" ht="12">
      <c r="B294" s="21">
        <v>288</v>
      </c>
      <c r="C294" s="5" t="s">
        <v>964</v>
      </c>
      <c r="D294" s="5" t="s">
        <v>753</v>
      </c>
      <c r="E294" s="10">
        <v>200</v>
      </c>
      <c r="F294" s="12">
        <v>302.64624</v>
      </c>
      <c r="G294" s="27">
        <f t="shared" si="6"/>
        <v>60529.24799999999</v>
      </c>
    </row>
    <row r="295" spans="2:7" ht="12">
      <c r="B295" s="21">
        <v>289</v>
      </c>
      <c r="C295" s="5" t="s">
        <v>965</v>
      </c>
      <c r="D295" s="5" t="s">
        <v>814</v>
      </c>
      <c r="E295" s="10">
        <v>588.13</v>
      </c>
      <c r="F295" s="12">
        <v>45.43488</v>
      </c>
      <c r="G295" s="27">
        <f t="shared" si="6"/>
        <v>26721.6159744</v>
      </c>
    </row>
    <row r="296" spans="2:7" ht="12">
      <c r="B296" s="21">
        <v>290</v>
      </c>
      <c r="C296" s="5" t="s">
        <v>966</v>
      </c>
      <c r="D296" s="5" t="s">
        <v>766</v>
      </c>
      <c r="E296" s="10">
        <v>0.0022</v>
      </c>
      <c r="F296" s="12">
        <v>48747.30552000001</v>
      </c>
      <c r="G296" s="27">
        <f t="shared" si="6"/>
        <v>107.24407214400003</v>
      </c>
    </row>
    <row r="297" spans="2:7" ht="12">
      <c r="B297" s="21">
        <v>291</v>
      </c>
      <c r="C297" s="5" t="s">
        <v>967</v>
      </c>
      <c r="D297" s="5" t="s">
        <v>762</v>
      </c>
      <c r="E297" s="10">
        <v>110</v>
      </c>
      <c r="F297" s="12">
        <v>166.37832</v>
      </c>
      <c r="G297" s="27">
        <f t="shared" si="6"/>
        <v>18301.6152</v>
      </c>
    </row>
    <row r="298" spans="2:7" ht="12">
      <c r="B298" s="21">
        <v>292</v>
      </c>
      <c r="C298" s="5" t="s">
        <v>968</v>
      </c>
      <c r="D298" s="5" t="s">
        <v>753</v>
      </c>
      <c r="E298" s="10">
        <v>11</v>
      </c>
      <c r="F298" s="12">
        <v>64.05192</v>
      </c>
      <c r="G298" s="27">
        <f t="shared" si="6"/>
        <v>704.57112</v>
      </c>
    </row>
    <row r="299" spans="2:7" ht="12">
      <c r="B299" s="21">
        <v>293</v>
      </c>
      <c r="C299" s="5" t="s">
        <v>969</v>
      </c>
      <c r="D299" s="5" t="s">
        <v>766</v>
      </c>
      <c r="E299" s="10">
        <v>0.12826</v>
      </c>
      <c r="F299" s="12">
        <v>49465.42632</v>
      </c>
      <c r="G299" s="27">
        <f t="shared" si="6"/>
        <v>6344.4355798032</v>
      </c>
    </row>
    <row r="300" spans="2:7" ht="12">
      <c r="B300" s="21">
        <v>294</v>
      </c>
      <c r="C300" s="5" t="s">
        <v>970</v>
      </c>
      <c r="D300" s="5" t="s">
        <v>755</v>
      </c>
      <c r="E300" s="10">
        <v>173.151</v>
      </c>
      <c r="F300" s="12">
        <v>229.63464000000002</v>
      </c>
      <c r="G300" s="27">
        <f t="shared" si="6"/>
        <v>39761.46755064001</v>
      </c>
    </row>
    <row r="301" spans="2:7" ht="12">
      <c r="B301" s="21">
        <v>295</v>
      </c>
      <c r="C301" s="5" t="s">
        <v>971</v>
      </c>
      <c r="D301" s="5" t="s">
        <v>17</v>
      </c>
      <c r="E301" s="10">
        <v>0.005</v>
      </c>
      <c r="F301" s="12">
        <v>661.6332</v>
      </c>
      <c r="G301" s="27">
        <f t="shared" si="6"/>
        <v>3.308166</v>
      </c>
    </row>
    <row r="302" spans="2:7" ht="12">
      <c r="B302" s="21">
        <v>296</v>
      </c>
      <c r="C302" s="5" t="s">
        <v>972</v>
      </c>
      <c r="D302" s="5" t="s">
        <v>17</v>
      </c>
      <c r="E302" s="10">
        <v>1.05</v>
      </c>
      <c r="F302" s="12">
        <v>1291.1853600000002</v>
      </c>
      <c r="G302" s="27">
        <f t="shared" si="6"/>
        <v>1355.7446280000001</v>
      </c>
    </row>
    <row r="303" spans="2:7" ht="12">
      <c r="B303" s="21">
        <v>297</v>
      </c>
      <c r="C303" s="5" t="s">
        <v>973</v>
      </c>
      <c r="D303" s="5" t="s">
        <v>755</v>
      </c>
      <c r="E303" s="10">
        <v>6.74</v>
      </c>
      <c r="F303" s="12">
        <v>135.71712</v>
      </c>
      <c r="G303" s="27">
        <f t="shared" si="6"/>
        <v>914.7333888</v>
      </c>
    </row>
    <row r="304" spans="2:7" ht="12">
      <c r="B304" s="21">
        <v>298</v>
      </c>
      <c r="C304" s="5" t="s">
        <v>974</v>
      </c>
      <c r="D304" s="5" t="s">
        <v>753</v>
      </c>
      <c r="E304" s="10">
        <v>1</v>
      </c>
      <c r="F304" s="12">
        <v>147.13703999999998</v>
      </c>
      <c r="G304" s="27">
        <f t="shared" si="6"/>
        <v>147.13703999999998</v>
      </c>
    </row>
    <row r="305" spans="2:7" ht="12">
      <c r="B305" s="21">
        <v>299</v>
      </c>
      <c r="C305" s="5" t="s">
        <v>975</v>
      </c>
      <c r="D305" s="5" t="s">
        <v>755</v>
      </c>
      <c r="E305" s="10">
        <v>385.5</v>
      </c>
      <c r="F305" s="12">
        <v>121.76352</v>
      </c>
      <c r="G305" s="27">
        <f t="shared" si="6"/>
        <v>46939.83696</v>
      </c>
    </row>
    <row r="306" spans="2:7" ht="12">
      <c r="B306" s="21">
        <v>300</v>
      </c>
      <c r="C306" s="5" t="s">
        <v>976</v>
      </c>
      <c r="D306" s="5" t="s">
        <v>766</v>
      </c>
      <c r="E306" s="10">
        <v>0.01581</v>
      </c>
      <c r="F306" s="12">
        <v>250854.43031999998</v>
      </c>
      <c r="G306" s="27">
        <f t="shared" si="6"/>
        <v>3966.0085433592</v>
      </c>
    </row>
    <row r="307" spans="2:7" ht="12">
      <c r="B307" s="21">
        <v>301</v>
      </c>
      <c r="C307" s="5" t="s">
        <v>977</v>
      </c>
      <c r="D307" s="5" t="s">
        <v>766</v>
      </c>
      <c r="E307" s="10">
        <v>0.12699</v>
      </c>
      <c r="F307" s="12">
        <v>8661.024</v>
      </c>
      <c r="G307" s="27">
        <f t="shared" si="6"/>
        <v>1099.86343776</v>
      </c>
    </row>
    <row r="308" spans="2:7" ht="12">
      <c r="B308" s="21">
        <v>302</v>
      </c>
      <c r="C308" s="5" t="s">
        <v>978</v>
      </c>
      <c r="D308" s="5" t="s">
        <v>753</v>
      </c>
      <c r="E308" s="10">
        <v>1</v>
      </c>
      <c r="F308" s="12">
        <v>30.20832</v>
      </c>
      <c r="G308" s="27">
        <f t="shared" si="6"/>
        <v>30.20832</v>
      </c>
    </row>
    <row r="309" spans="2:7" ht="24">
      <c r="B309" s="21">
        <v>303</v>
      </c>
      <c r="C309" s="5" t="s">
        <v>979</v>
      </c>
      <c r="D309" s="5" t="s">
        <v>17</v>
      </c>
      <c r="E309" s="10">
        <v>0.40559208</v>
      </c>
      <c r="F309" s="12">
        <v>1009.65312</v>
      </c>
      <c r="G309" s="27">
        <f t="shared" si="6"/>
        <v>409.5073090192896</v>
      </c>
    </row>
    <row r="310" spans="2:7" ht="12">
      <c r="B310" s="21">
        <v>304</v>
      </c>
      <c r="C310" s="5" t="s">
        <v>980</v>
      </c>
      <c r="D310" s="5" t="s">
        <v>832</v>
      </c>
      <c r="E310" s="10">
        <v>51.9</v>
      </c>
      <c r="F310" s="12">
        <v>232.20504</v>
      </c>
      <c r="G310" s="27">
        <f t="shared" si="6"/>
        <v>12051.441576</v>
      </c>
    </row>
    <row r="311" spans="2:7" ht="24">
      <c r="B311" s="21">
        <v>305</v>
      </c>
      <c r="C311" s="5" t="s">
        <v>981</v>
      </c>
      <c r="D311" s="5" t="s">
        <v>753</v>
      </c>
      <c r="E311" s="10">
        <v>4.05</v>
      </c>
      <c r="F311" s="12">
        <v>332.47511999999995</v>
      </c>
      <c r="G311" s="27">
        <f t="shared" si="6"/>
        <v>1346.5242359999997</v>
      </c>
    </row>
    <row r="312" spans="2:7" ht="12">
      <c r="B312" s="21">
        <v>306</v>
      </c>
      <c r="C312" s="5" t="s">
        <v>982</v>
      </c>
      <c r="D312" s="5" t="s">
        <v>753</v>
      </c>
      <c r="E312" s="10">
        <v>1</v>
      </c>
      <c r="F312" s="12">
        <v>22032</v>
      </c>
      <c r="G312" s="27">
        <f t="shared" si="6"/>
        <v>22032</v>
      </c>
    </row>
    <row r="313" spans="2:7" ht="12">
      <c r="B313" s="21">
        <v>307</v>
      </c>
      <c r="C313" s="5" t="s">
        <v>983</v>
      </c>
      <c r="D313" s="5" t="s">
        <v>17</v>
      </c>
      <c r="E313" s="10">
        <v>2.02</v>
      </c>
      <c r="F313" s="12">
        <v>2986.69464</v>
      </c>
      <c r="G313" s="27">
        <f t="shared" si="6"/>
        <v>6033.1231728</v>
      </c>
    </row>
    <row r="314" spans="2:7" ht="12">
      <c r="B314" s="21">
        <v>308</v>
      </c>
      <c r="C314" s="5" t="s">
        <v>984</v>
      </c>
      <c r="D314" s="5" t="s">
        <v>762</v>
      </c>
      <c r="E314" s="10">
        <v>1</v>
      </c>
      <c r="F314" s="12">
        <v>4225.9212</v>
      </c>
      <c r="G314" s="27">
        <f t="shared" si="6"/>
        <v>4225.9212</v>
      </c>
    </row>
    <row r="315" spans="2:7" ht="12">
      <c r="B315" s="21">
        <v>309</v>
      </c>
      <c r="C315" s="5" t="s">
        <v>985</v>
      </c>
      <c r="D315" s="5" t="s">
        <v>762</v>
      </c>
      <c r="E315" s="10">
        <v>1</v>
      </c>
      <c r="F315" s="12">
        <v>3912.4792799999996</v>
      </c>
      <c r="G315" s="27">
        <f t="shared" si="6"/>
        <v>3912.4792799999996</v>
      </c>
    </row>
    <row r="316" spans="2:7" ht="12">
      <c r="B316" s="21">
        <v>310</v>
      </c>
      <c r="C316" s="5" t="s">
        <v>986</v>
      </c>
      <c r="D316" s="5" t="s">
        <v>766</v>
      </c>
      <c r="E316" s="10">
        <v>0.045</v>
      </c>
      <c r="F316" s="12">
        <v>40758.37992000001</v>
      </c>
      <c r="G316" s="27">
        <f t="shared" si="6"/>
        <v>1834.1270964000003</v>
      </c>
    </row>
    <row r="317" spans="2:7" ht="12">
      <c r="B317" s="21">
        <v>311</v>
      </c>
      <c r="C317" s="5" t="s">
        <v>987</v>
      </c>
      <c r="D317" s="5" t="s">
        <v>17</v>
      </c>
      <c r="E317" s="10">
        <v>16.845342</v>
      </c>
      <c r="F317" s="12">
        <v>1583.0726399999996</v>
      </c>
      <c r="G317" s="27">
        <f t="shared" si="6"/>
        <v>26667.400031642872</v>
      </c>
    </row>
    <row r="318" spans="2:7" ht="12">
      <c r="B318" s="21">
        <v>312</v>
      </c>
      <c r="C318" s="5" t="s">
        <v>988</v>
      </c>
      <c r="D318" s="5" t="s">
        <v>753</v>
      </c>
      <c r="E318" s="10">
        <v>20</v>
      </c>
      <c r="F318" s="12">
        <v>22.57056</v>
      </c>
      <c r="G318" s="27">
        <f t="shared" si="6"/>
        <v>451.4112</v>
      </c>
    </row>
    <row r="319" spans="2:7" ht="12">
      <c r="B319" s="21">
        <v>313</v>
      </c>
      <c r="C319" s="5" t="s">
        <v>989</v>
      </c>
      <c r="D319" s="5" t="s">
        <v>753</v>
      </c>
      <c r="E319" s="10">
        <v>28</v>
      </c>
      <c r="F319" s="12">
        <v>21.08952</v>
      </c>
      <c r="G319" s="27">
        <f t="shared" si="6"/>
        <v>590.50656</v>
      </c>
    </row>
    <row r="320" spans="2:7" ht="12">
      <c r="B320" s="21">
        <v>314</v>
      </c>
      <c r="C320" s="5" t="s">
        <v>990</v>
      </c>
      <c r="D320" s="5" t="s">
        <v>753</v>
      </c>
      <c r="E320" s="10">
        <v>2.65</v>
      </c>
      <c r="F320" s="12">
        <v>69.67008</v>
      </c>
      <c r="G320" s="27">
        <f t="shared" si="6"/>
        <v>184.625712</v>
      </c>
    </row>
    <row r="321" spans="2:7" ht="12">
      <c r="B321" s="21">
        <v>315</v>
      </c>
      <c r="C321" s="5" t="s">
        <v>991</v>
      </c>
      <c r="D321" s="5" t="s">
        <v>755</v>
      </c>
      <c r="E321" s="10">
        <v>10.06</v>
      </c>
      <c r="F321" s="12">
        <v>255.04488</v>
      </c>
      <c r="G321" s="27">
        <f t="shared" si="6"/>
        <v>2565.7514928</v>
      </c>
    </row>
    <row r="322" spans="2:7" ht="24">
      <c r="B322" s="21">
        <v>316</v>
      </c>
      <c r="C322" s="5" t="s">
        <v>992</v>
      </c>
      <c r="D322" s="5" t="s">
        <v>17</v>
      </c>
      <c r="E322" s="10">
        <v>0.38</v>
      </c>
      <c r="F322" s="12">
        <v>3677.3856</v>
      </c>
      <c r="G322" s="27">
        <f t="shared" si="6"/>
        <v>1397.406528</v>
      </c>
    </row>
    <row r="323" spans="2:7" ht="12">
      <c r="B323" s="21">
        <v>317</v>
      </c>
      <c r="C323" s="5" t="s">
        <v>993</v>
      </c>
      <c r="D323" s="5" t="s">
        <v>627</v>
      </c>
      <c r="E323" s="10">
        <v>107</v>
      </c>
      <c r="F323" s="12">
        <v>2482.7616000000003</v>
      </c>
      <c r="G323" s="27">
        <f t="shared" si="6"/>
        <v>265655.49120000005</v>
      </c>
    </row>
    <row r="324" spans="2:7" ht="24">
      <c r="B324" s="21">
        <v>318</v>
      </c>
      <c r="C324" s="5" t="s">
        <v>994</v>
      </c>
      <c r="D324" s="5" t="s">
        <v>627</v>
      </c>
      <c r="E324" s="10">
        <v>4.94</v>
      </c>
      <c r="F324" s="12">
        <v>520.7875200000001</v>
      </c>
      <c r="G324" s="27">
        <f t="shared" si="6"/>
        <v>2572.6903488000007</v>
      </c>
    </row>
    <row r="325" spans="2:7" ht="24">
      <c r="B325" s="21">
        <v>319</v>
      </c>
      <c r="C325" s="5" t="s">
        <v>995</v>
      </c>
      <c r="D325" s="5" t="s">
        <v>627</v>
      </c>
      <c r="E325" s="10">
        <v>0.9</v>
      </c>
      <c r="F325" s="12">
        <v>398.49767999999995</v>
      </c>
      <c r="G325" s="27">
        <f t="shared" si="6"/>
        <v>358.64791199999996</v>
      </c>
    </row>
    <row r="326" spans="2:7" ht="12">
      <c r="B326" s="21">
        <v>320</v>
      </c>
      <c r="C326" s="5" t="s">
        <v>996</v>
      </c>
      <c r="D326" s="5" t="s">
        <v>753</v>
      </c>
      <c r="E326" s="10">
        <v>2</v>
      </c>
      <c r="F326" s="12">
        <v>1806.624</v>
      </c>
      <c r="G326" s="27">
        <f t="shared" si="6"/>
        <v>3613.248</v>
      </c>
    </row>
    <row r="327" spans="2:7" ht="12">
      <c r="B327" s="21">
        <v>321</v>
      </c>
      <c r="C327" s="5" t="s">
        <v>997</v>
      </c>
      <c r="D327" s="5" t="s">
        <v>766</v>
      </c>
      <c r="E327" s="10">
        <v>1.452</v>
      </c>
      <c r="F327" s="12">
        <v>65217.376079999995</v>
      </c>
      <c r="G327" s="27">
        <f t="shared" si="6"/>
        <v>94695.63006815998</v>
      </c>
    </row>
    <row r="328" spans="2:7" ht="12">
      <c r="B328" s="21">
        <v>322</v>
      </c>
      <c r="C328" s="5" t="s">
        <v>998</v>
      </c>
      <c r="D328" s="5" t="s">
        <v>766</v>
      </c>
      <c r="E328" s="10">
        <v>0.01</v>
      </c>
      <c r="F328" s="12">
        <v>45001.596240000006</v>
      </c>
      <c r="G328" s="27">
        <f t="shared" si="6"/>
        <v>450.0159624000001</v>
      </c>
    </row>
    <row r="329" spans="2:7" ht="24">
      <c r="B329" s="21">
        <v>323</v>
      </c>
      <c r="C329" s="5" t="s">
        <v>999</v>
      </c>
      <c r="D329" s="5" t="s">
        <v>755</v>
      </c>
      <c r="E329" s="10">
        <v>36.7</v>
      </c>
      <c r="F329" s="12">
        <v>76.21848</v>
      </c>
      <c r="G329" s="27">
        <f t="shared" si="6"/>
        <v>2797.218216</v>
      </c>
    </row>
    <row r="330" spans="2:7" ht="12">
      <c r="B330" s="21">
        <v>324</v>
      </c>
      <c r="C330" s="5" t="s">
        <v>1000</v>
      </c>
      <c r="D330" s="5" t="s">
        <v>102</v>
      </c>
      <c r="E330" s="10">
        <v>0.2</v>
      </c>
      <c r="F330" s="12">
        <v>1325.50632</v>
      </c>
      <c r="G330" s="27">
        <f t="shared" si="6"/>
        <v>265.101264</v>
      </c>
    </row>
    <row r="331" spans="2:7" ht="12">
      <c r="B331" s="21">
        <v>325</v>
      </c>
      <c r="C331" s="5" t="s">
        <v>1001</v>
      </c>
      <c r="D331" s="5" t="s">
        <v>753</v>
      </c>
      <c r="E331" s="10">
        <v>2</v>
      </c>
      <c r="F331" s="12">
        <v>1986.03792</v>
      </c>
      <c r="G331" s="27">
        <f t="shared" si="6"/>
        <v>3972.07584</v>
      </c>
    </row>
    <row r="332" spans="2:7" ht="24">
      <c r="B332" s="21">
        <v>326</v>
      </c>
      <c r="C332" s="5" t="s">
        <v>1002</v>
      </c>
      <c r="D332" s="5" t="s">
        <v>766</v>
      </c>
      <c r="E332" s="10">
        <v>0.011003</v>
      </c>
      <c r="F332" s="12">
        <v>6417.01584</v>
      </c>
      <c r="G332" s="27">
        <f t="shared" si="6"/>
        <v>70.60642528752001</v>
      </c>
    </row>
    <row r="333" spans="2:7" ht="12">
      <c r="B333" s="21">
        <v>327</v>
      </c>
      <c r="C333" s="5" t="s">
        <v>1003</v>
      </c>
      <c r="D333" s="5" t="s">
        <v>766</v>
      </c>
      <c r="E333" s="10">
        <v>1.8</v>
      </c>
      <c r="F333" s="12">
        <v>6367.7988</v>
      </c>
      <c r="G333" s="27">
        <f t="shared" si="6"/>
        <v>11462.037839999999</v>
      </c>
    </row>
    <row r="334" spans="2:7" ht="12">
      <c r="B334" s="21">
        <v>328</v>
      </c>
      <c r="C334" s="5" t="s">
        <v>1004</v>
      </c>
      <c r="D334" s="5" t="s">
        <v>766</v>
      </c>
      <c r="E334" s="10">
        <v>0.00026</v>
      </c>
      <c r="F334" s="12">
        <v>115053.61319999999</v>
      </c>
      <c r="G334" s="27">
        <f t="shared" si="6"/>
        <v>29.913939431999996</v>
      </c>
    </row>
    <row r="335" spans="2:7" ht="12">
      <c r="B335" s="21">
        <v>329</v>
      </c>
      <c r="C335" s="5" t="s">
        <v>1005</v>
      </c>
      <c r="D335" s="5" t="s">
        <v>762</v>
      </c>
      <c r="E335" s="10">
        <v>0.1</v>
      </c>
      <c r="F335" s="12">
        <v>9954.76752</v>
      </c>
      <c r="G335" s="27">
        <f t="shared" si="6"/>
        <v>995.476752</v>
      </c>
    </row>
    <row r="336" spans="2:7" ht="12">
      <c r="B336" s="21">
        <v>330</v>
      </c>
      <c r="C336" s="5" t="s">
        <v>1006</v>
      </c>
      <c r="D336" s="5" t="s">
        <v>753</v>
      </c>
      <c r="E336" s="10">
        <v>6</v>
      </c>
      <c r="F336" s="12">
        <v>7577.6004</v>
      </c>
      <c r="G336" s="27">
        <f t="shared" si="6"/>
        <v>45465.6024</v>
      </c>
    </row>
    <row r="337" spans="2:7" ht="12">
      <c r="B337" s="21">
        <v>331</v>
      </c>
      <c r="C337" s="5" t="s">
        <v>1007</v>
      </c>
      <c r="D337" s="5" t="s">
        <v>753</v>
      </c>
      <c r="E337" s="10">
        <v>4</v>
      </c>
      <c r="F337" s="12">
        <v>22399.2</v>
      </c>
      <c r="G337" s="27">
        <f t="shared" si="6"/>
        <v>89596.8</v>
      </c>
    </row>
    <row r="338" spans="2:7" ht="12">
      <c r="B338" s="21">
        <v>332</v>
      </c>
      <c r="C338" s="5" t="s">
        <v>1008</v>
      </c>
      <c r="D338" s="5" t="s">
        <v>753</v>
      </c>
      <c r="E338" s="10">
        <v>2</v>
      </c>
      <c r="F338" s="12">
        <v>31824</v>
      </c>
      <c r="G338" s="27">
        <f t="shared" si="6"/>
        <v>63648</v>
      </c>
    </row>
    <row r="339" spans="2:7" ht="12">
      <c r="B339" s="21">
        <v>333</v>
      </c>
      <c r="C339" s="5" t="s">
        <v>1009</v>
      </c>
      <c r="D339" s="5" t="s">
        <v>755</v>
      </c>
      <c r="E339" s="10">
        <v>0.05</v>
      </c>
      <c r="F339" s="12">
        <v>179.80560000000003</v>
      </c>
      <c r="G339" s="27">
        <f t="shared" si="6"/>
        <v>8.990280000000002</v>
      </c>
    </row>
    <row r="340" spans="2:7" ht="12">
      <c r="B340" s="21">
        <v>334</v>
      </c>
      <c r="C340" s="5" t="s">
        <v>1010</v>
      </c>
      <c r="D340" s="5" t="s">
        <v>755</v>
      </c>
      <c r="E340" s="10">
        <v>0.002</v>
      </c>
      <c r="F340" s="12">
        <v>1014.1207199999999</v>
      </c>
      <c r="G340" s="27">
        <f t="shared" si="6"/>
        <v>2.02824144</v>
      </c>
    </row>
    <row r="341" spans="2:7" ht="12">
      <c r="B341" s="21">
        <v>335</v>
      </c>
      <c r="C341" s="5" t="s">
        <v>1011</v>
      </c>
      <c r="D341" s="5" t="s">
        <v>753</v>
      </c>
      <c r="E341" s="10">
        <v>202</v>
      </c>
      <c r="F341" s="12">
        <v>26.52408</v>
      </c>
      <c r="G341" s="27">
        <f t="shared" si="6"/>
        <v>5357.86416</v>
      </c>
    </row>
    <row r="342" spans="2:7" ht="12">
      <c r="B342" s="21">
        <v>336</v>
      </c>
      <c r="C342" s="5" t="s">
        <v>1012</v>
      </c>
      <c r="D342" s="5" t="s">
        <v>1013</v>
      </c>
      <c r="E342" s="10">
        <v>1.02</v>
      </c>
      <c r="F342" s="12">
        <v>2688.0876000000003</v>
      </c>
      <c r="G342" s="27">
        <f t="shared" si="6"/>
        <v>2741.849352</v>
      </c>
    </row>
    <row r="343" spans="2:7" ht="12">
      <c r="B343" s="21">
        <v>337</v>
      </c>
      <c r="C343" s="5" t="s">
        <v>1014</v>
      </c>
      <c r="D343" s="5" t="s">
        <v>766</v>
      </c>
      <c r="E343" s="10">
        <v>0.07796</v>
      </c>
      <c r="F343" s="12">
        <v>35385.66864</v>
      </c>
      <c r="G343" s="27">
        <f t="shared" si="6"/>
        <v>2758.6667271744004</v>
      </c>
    </row>
    <row r="344" spans="2:7" ht="12">
      <c r="B344" s="21">
        <v>338</v>
      </c>
      <c r="C344" s="5" t="s">
        <v>1015</v>
      </c>
      <c r="D344" s="5" t="s">
        <v>766</v>
      </c>
      <c r="E344" s="10">
        <v>0.0093</v>
      </c>
      <c r="F344" s="12">
        <v>72912.48048</v>
      </c>
      <c r="G344" s="27">
        <f t="shared" si="6"/>
        <v>678.0860684639999</v>
      </c>
    </row>
    <row r="345" spans="2:7" ht="12">
      <c r="B345" s="21">
        <v>339</v>
      </c>
      <c r="C345" s="5" t="s">
        <v>1016</v>
      </c>
      <c r="D345" s="5" t="s">
        <v>766</v>
      </c>
      <c r="E345" s="10">
        <v>0.025</v>
      </c>
      <c r="F345" s="12">
        <v>42899.767920000006</v>
      </c>
      <c r="G345" s="27">
        <f t="shared" si="6"/>
        <v>1072.494198</v>
      </c>
    </row>
    <row r="346" spans="2:7" ht="12">
      <c r="B346" s="21">
        <v>340</v>
      </c>
      <c r="C346" s="5" t="s">
        <v>1017</v>
      </c>
      <c r="D346" s="5" t="s">
        <v>766</v>
      </c>
      <c r="E346" s="10">
        <v>7.96E-06</v>
      </c>
      <c r="F346" s="12">
        <v>52526.50343999999</v>
      </c>
      <c r="G346" s="27">
        <f t="shared" si="6"/>
        <v>0.41811096738239995</v>
      </c>
    </row>
    <row r="347" spans="2:7" ht="24">
      <c r="B347" s="21">
        <v>341</v>
      </c>
      <c r="C347" s="5" t="s">
        <v>1018</v>
      </c>
      <c r="D347" s="5" t="s">
        <v>766</v>
      </c>
      <c r="E347" s="10">
        <v>0.00059</v>
      </c>
      <c r="F347" s="12">
        <v>61219.35144</v>
      </c>
      <c r="G347" s="27">
        <f t="shared" si="6"/>
        <v>36.1194173496</v>
      </c>
    </row>
    <row r="348" spans="2:7" ht="24">
      <c r="B348" s="21">
        <v>342</v>
      </c>
      <c r="C348" s="5" t="s">
        <v>1019</v>
      </c>
      <c r="D348" s="5" t="s">
        <v>766</v>
      </c>
      <c r="E348" s="10">
        <v>0.00308</v>
      </c>
      <c r="F348" s="12">
        <v>58934.59632</v>
      </c>
      <c r="G348" s="27">
        <f t="shared" si="6"/>
        <v>181.5185566656</v>
      </c>
    </row>
    <row r="349" spans="2:7" ht="24">
      <c r="B349" s="21">
        <v>343</v>
      </c>
      <c r="C349" s="5" t="s">
        <v>1020</v>
      </c>
      <c r="D349" s="5" t="s">
        <v>766</v>
      </c>
      <c r="E349" s="10">
        <v>0.00036</v>
      </c>
      <c r="F349" s="12">
        <v>61941.437999999995</v>
      </c>
      <c r="G349" s="27">
        <f t="shared" si="6"/>
        <v>22.29891768</v>
      </c>
    </row>
    <row r="350" spans="2:7" ht="12">
      <c r="B350" s="21">
        <v>344</v>
      </c>
      <c r="C350" s="5" t="s">
        <v>1021</v>
      </c>
      <c r="D350" s="5" t="s">
        <v>766</v>
      </c>
      <c r="E350" s="10">
        <v>0.000201</v>
      </c>
      <c r="F350" s="12">
        <v>46674.53496</v>
      </c>
      <c r="G350" s="27">
        <f t="shared" si="6"/>
        <v>9.38158152696</v>
      </c>
    </row>
    <row r="351" spans="2:7" ht="12">
      <c r="B351" s="21">
        <v>345</v>
      </c>
      <c r="C351" s="5" t="s">
        <v>1022</v>
      </c>
      <c r="D351" s="5" t="s">
        <v>753</v>
      </c>
      <c r="E351" s="10">
        <v>1</v>
      </c>
      <c r="F351" s="12">
        <v>182.32703999999998</v>
      </c>
      <c r="G351" s="27">
        <f t="shared" si="6"/>
        <v>182.32703999999998</v>
      </c>
    </row>
    <row r="352" spans="2:7" ht="12">
      <c r="B352" s="21">
        <v>346</v>
      </c>
      <c r="C352" s="5" t="s">
        <v>1023</v>
      </c>
      <c r="D352" s="5" t="s">
        <v>820</v>
      </c>
      <c r="E352" s="10">
        <v>0.3</v>
      </c>
      <c r="F352" s="12">
        <v>48537.97704</v>
      </c>
      <c r="G352" s="27">
        <f t="shared" si="6"/>
        <v>14561.393112</v>
      </c>
    </row>
    <row r="353" spans="2:7" ht="24">
      <c r="B353" s="21">
        <v>347</v>
      </c>
      <c r="C353" s="5" t="s">
        <v>1024</v>
      </c>
      <c r="D353" s="5" t="s">
        <v>820</v>
      </c>
      <c r="E353" s="10">
        <v>0.2</v>
      </c>
      <c r="F353" s="12">
        <v>11595.931199999999</v>
      </c>
      <c r="G353" s="27">
        <f aca="true" t="shared" si="7" ref="G353:G416">E353*F353</f>
        <v>2319.18624</v>
      </c>
    </row>
    <row r="354" spans="2:7" ht="24">
      <c r="B354" s="21">
        <v>348</v>
      </c>
      <c r="C354" s="5" t="s">
        <v>1025</v>
      </c>
      <c r="D354" s="5" t="s">
        <v>820</v>
      </c>
      <c r="E354" s="10">
        <v>0.2</v>
      </c>
      <c r="F354" s="12">
        <v>76442.42304</v>
      </c>
      <c r="G354" s="27">
        <f t="shared" si="7"/>
        <v>15288.484607999999</v>
      </c>
    </row>
    <row r="355" spans="2:7" ht="12">
      <c r="B355" s="21">
        <v>349</v>
      </c>
      <c r="C355" s="5" t="s">
        <v>1026</v>
      </c>
      <c r="D355" s="5" t="s">
        <v>820</v>
      </c>
      <c r="E355" s="10">
        <v>1.1</v>
      </c>
      <c r="F355" s="12">
        <v>24539.6088</v>
      </c>
      <c r="G355" s="27">
        <f t="shared" si="7"/>
        <v>26993.569680000004</v>
      </c>
    </row>
    <row r="356" spans="2:7" ht="12">
      <c r="B356" s="21">
        <v>350</v>
      </c>
      <c r="C356" s="5" t="s">
        <v>1027</v>
      </c>
      <c r="D356" s="5" t="s">
        <v>820</v>
      </c>
      <c r="E356" s="10">
        <v>0.5</v>
      </c>
      <c r="F356" s="12">
        <v>34666.18919999999</v>
      </c>
      <c r="G356" s="27">
        <f t="shared" si="7"/>
        <v>17333.094599999997</v>
      </c>
    </row>
    <row r="357" spans="2:7" ht="12">
      <c r="B357" s="21">
        <v>351</v>
      </c>
      <c r="C357" s="5" t="s">
        <v>1028</v>
      </c>
      <c r="D357" s="5" t="s">
        <v>755</v>
      </c>
      <c r="E357" s="10">
        <v>0.12</v>
      </c>
      <c r="F357" s="12">
        <v>182.32703999999998</v>
      </c>
      <c r="G357" s="27">
        <f t="shared" si="7"/>
        <v>21.8792448</v>
      </c>
    </row>
    <row r="358" spans="2:7" ht="12">
      <c r="B358" s="21">
        <v>352</v>
      </c>
      <c r="C358" s="5" t="s">
        <v>1029</v>
      </c>
      <c r="D358" s="5" t="s">
        <v>762</v>
      </c>
      <c r="E358" s="10">
        <v>50</v>
      </c>
      <c r="F358" s="12">
        <v>27.931680000000004</v>
      </c>
      <c r="G358" s="27">
        <f t="shared" si="7"/>
        <v>1396.5840000000003</v>
      </c>
    </row>
    <row r="359" spans="2:7" ht="12">
      <c r="B359" s="21">
        <v>353</v>
      </c>
      <c r="C359" s="5" t="s">
        <v>1030</v>
      </c>
      <c r="D359" s="5" t="s">
        <v>753</v>
      </c>
      <c r="E359" s="10">
        <v>1.64</v>
      </c>
      <c r="F359" s="12">
        <v>644.3503199999999</v>
      </c>
      <c r="G359" s="27">
        <f t="shared" si="7"/>
        <v>1056.7345247999997</v>
      </c>
    </row>
    <row r="360" spans="2:7" ht="12">
      <c r="B360" s="21">
        <v>354</v>
      </c>
      <c r="C360" s="5" t="s">
        <v>1031</v>
      </c>
      <c r="D360" s="5" t="s">
        <v>753</v>
      </c>
      <c r="E360" s="10">
        <v>1</v>
      </c>
      <c r="F360" s="12">
        <v>107.87112</v>
      </c>
      <c r="G360" s="27">
        <f t="shared" si="7"/>
        <v>107.87112</v>
      </c>
    </row>
    <row r="361" spans="2:7" ht="12">
      <c r="B361" s="21">
        <v>355</v>
      </c>
      <c r="C361" s="5" t="s">
        <v>1032</v>
      </c>
      <c r="D361" s="5" t="s">
        <v>755</v>
      </c>
      <c r="E361" s="10">
        <v>11.8</v>
      </c>
      <c r="F361" s="12">
        <v>113.4648</v>
      </c>
      <c r="G361" s="27">
        <f t="shared" si="7"/>
        <v>1338.88464</v>
      </c>
    </row>
    <row r="362" spans="2:7" ht="12">
      <c r="B362" s="21">
        <v>356</v>
      </c>
      <c r="C362" s="5" t="s">
        <v>1033</v>
      </c>
      <c r="D362" s="5" t="s">
        <v>766</v>
      </c>
      <c r="E362" s="10">
        <v>0.0084</v>
      </c>
      <c r="F362" s="12">
        <v>382898.54663999996</v>
      </c>
      <c r="G362" s="27">
        <f t="shared" si="7"/>
        <v>3216.347791775999</v>
      </c>
    </row>
    <row r="363" spans="2:7" ht="24">
      <c r="B363" s="21">
        <v>357</v>
      </c>
      <c r="C363" s="5" t="s">
        <v>1034</v>
      </c>
      <c r="D363" s="5" t="s">
        <v>753</v>
      </c>
      <c r="E363" s="10">
        <v>1</v>
      </c>
      <c r="F363" s="12">
        <v>339.02352</v>
      </c>
      <c r="G363" s="27">
        <f t="shared" si="7"/>
        <v>339.02352</v>
      </c>
    </row>
    <row r="364" spans="2:7" ht="24">
      <c r="B364" s="21">
        <v>358</v>
      </c>
      <c r="C364" s="5" t="s">
        <v>1035</v>
      </c>
      <c r="D364" s="5" t="s">
        <v>753</v>
      </c>
      <c r="E364" s="10">
        <v>25</v>
      </c>
      <c r="F364" s="12">
        <v>2031.9501599999999</v>
      </c>
      <c r="G364" s="27">
        <f t="shared" si="7"/>
        <v>50798.75399999999</v>
      </c>
    </row>
    <row r="365" spans="2:7" ht="12">
      <c r="B365" s="21">
        <v>359</v>
      </c>
      <c r="C365" s="5" t="s">
        <v>1036</v>
      </c>
      <c r="D365" s="5" t="s">
        <v>753</v>
      </c>
      <c r="E365" s="10">
        <v>1696.8</v>
      </c>
      <c r="F365" s="12">
        <v>14.700239999999999</v>
      </c>
      <c r="G365" s="27">
        <f t="shared" si="7"/>
        <v>24943.367231999997</v>
      </c>
    </row>
    <row r="366" spans="2:7" ht="12">
      <c r="B366" s="21">
        <v>360</v>
      </c>
      <c r="C366" s="5" t="s">
        <v>1037</v>
      </c>
      <c r="D366" s="5" t="s">
        <v>17</v>
      </c>
      <c r="E366" s="10">
        <v>72.814</v>
      </c>
      <c r="F366" s="12">
        <v>5357.619360000001</v>
      </c>
      <c r="G366" s="27">
        <f t="shared" si="7"/>
        <v>390109.69607904</v>
      </c>
    </row>
    <row r="367" spans="2:7" ht="12">
      <c r="B367" s="21">
        <v>361</v>
      </c>
      <c r="C367" s="5" t="s">
        <v>1038</v>
      </c>
      <c r="D367" s="5" t="s">
        <v>17</v>
      </c>
      <c r="E367" s="10">
        <v>9.0664</v>
      </c>
      <c r="F367" s="12">
        <v>3099.93912</v>
      </c>
      <c r="G367" s="27">
        <f t="shared" si="7"/>
        <v>28105.288037568</v>
      </c>
    </row>
    <row r="368" spans="2:7" ht="12">
      <c r="B368" s="21">
        <v>362</v>
      </c>
      <c r="C368" s="5" t="s">
        <v>1039</v>
      </c>
      <c r="D368" s="5" t="s">
        <v>17</v>
      </c>
      <c r="E368" s="10">
        <v>66.0462</v>
      </c>
      <c r="F368" s="12">
        <v>3453.7363199999995</v>
      </c>
      <c r="G368" s="27">
        <f t="shared" si="7"/>
        <v>228106.15973798395</v>
      </c>
    </row>
    <row r="369" spans="2:7" ht="12">
      <c r="B369" s="21">
        <v>363</v>
      </c>
      <c r="C369" s="5" t="s">
        <v>1040</v>
      </c>
      <c r="D369" s="5" t="s">
        <v>17</v>
      </c>
      <c r="E369" s="10">
        <v>4.62512</v>
      </c>
      <c r="F369" s="12">
        <v>2354.1681599999997</v>
      </c>
      <c r="G369" s="27">
        <f t="shared" si="7"/>
        <v>10888.310240179198</v>
      </c>
    </row>
    <row r="370" spans="2:7" ht="12">
      <c r="B370" s="21">
        <v>364</v>
      </c>
      <c r="C370" s="5" t="s">
        <v>1041</v>
      </c>
      <c r="D370" s="5" t="s">
        <v>17</v>
      </c>
      <c r="E370" s="10">
        <v>0.01094</v>
      </c>
      <c r="F370" s="12">
        <v>6189.143759999999</v>
      </c>
      <c r="G370" s="27">
        <f t="shared" si="7"/>
        <v>67.70923273439999</v>
      </c>
    </row>
    <row r="371" spans="2:7" ht="12">
      <c r="B371" s="21">
        <v>365</v>
      </c>
      <c r="C371" s="5" t="s">
        <v>1042</v>
      </c>
      <c r="D371" s="5" t="s">
        <v>17</v>
      </c>
      <c r="E371" s="10">
        <v>16.4375</v>
      </c>
      <c r="F371" s="12">
        <v>2847.80736</v>
      </c>
      <c r="G371" s="27">
        <f t="shared" si="7"/>
        <v>46810.833479999994</v>
      </c>
    </row>
    <row r="372" spans="2:7" ht="12">
      <c r="B372" s="21">
        <v>366</v>
      </c>
      <c r="C372" s="5" t="s">
        <v>1043</v>
      </c>
      <c r="D372" s="5" t="s">
        <v>17</v>
      </c>
      <c r="E372" s="10">
        <v>6.4552</v>
      </c>
      <c r="F372" s="12">
        <v>3998.30616</v>
      </c>
      <c r="G372" s="27">
        <f t="shared" si="7"/>
        <v>25809.865924031998</v>
      </c>
    </row>
    <row r="373" spans="2:7" ht="12">
      <c r="B373" s="21">
        <v>367</v>
      </c>
      <c r="C373" s="5" t="s">
        <v>1044</v>
      </c>
      <c r="D373" s="5" t="s">
        <v>17</v>
      </c>
      <c r="E373" s="10">
        <v>4.4</v>
      </c>
      <c r="F373" s="12">
        <v>2336.10192</v>
      </c>
      <c r="G373" s="27">
        <f t="shared" si="7"/>
        <v>10278.848448</v>
      </c>
    </row>
    <row r="374" spans="2:7" ht="12">
      <c r="B374" s="21">
        <v>368</v>
      </c>
      <c r="C374" s="5" t="s">
        <v>1045</v>
      </c>
      <c r="D374" s="5" t="s">
        <v>17</v>
      </c>
      <c r="E374" s="10">
        <v>0.094</v>
      </c>
      <c r="F374" s="12">
        <v>5581.44</v>
      </c>
      <c r="G374" s="27">
        <f t="shared" si="7"/>
        <v>524.65536</v>
      </c>
    </row>
    <row r="375" spans="2:7" ht="12">
      <c r="B375" s="21">
        <v>369</v>
      </c>
      <c r="C375" s="5" t="s">
        <v>1046</v>
      </c>
      <c r="D375" s="5" t="s">
        <v>17</v>
      </c>
      <c r="E375" s="10">
        <v>2.2</v>
      </c>
      <c r="F375" s="12">
        <v>4105.283759999999</v>
      </c>
      <c r="G375" s="27">
        <f t="shared" si="7"/>
        <v>9031.624272</v>
      </c>
    </row>
    <row r="376" spans="2:7" ht="12">
      <c r="B376" s="21">
        <v>370</v>
      </c>
      <c r="C376" s="5" t="s">
        <v>1047</v>
      </c>
      <c r="D376" s="5" t="s">
        <v>766</v>
      </c>
      <c r="E376" s="10">
        <v>5E-05</v>
      </c>
      <c r="F376" s="12">
        <v>81138.25008</v>
      </c>
      <c r="G376" s="27">
        <f t="shared" si="7"/>
        <v>4.0569125040000005</v>
      </c>
    </row>
    <row r="377" spans="2:7" ht="12">
      <c r="B377" s="21">
        <v>371</v>
      </c>
      <c r="C377" s="5" t="s">
        <v>1048</v>
      </c>
      <c r="D377" s="5" t="s">
        <v>753</v>
      </c>
      <c r="E377" s="10">
        <v>1.5</v>
      </c>
      <c r="F377" s="12">
        <v>250.3692</v>
      </c>
      <c r="G377" s="27">
        <f t="shared" si="7"/>
        <v>375.5538</v>
      </c>
    </row>
    <row r="378" spans="2:7" ht="12">
      <c r="B378" s="21">
        <v>372</v>
      </c>
      <c r="C378" s="5" t="s">
        <v>1049</v>
      </c>
      <c r="D378" s="5" t="s">
        <v>753</v>
      </c>
      <c r="E378" s="10">
        <v>1.5</v>
      </c>
      <c r="F378" s="12">
        <v>19388.47824</v>
      </c>
      <c r="G378" s="27">
        <f t="shared" si="7"/>
        <v>29082.717360000002</v>
      </c>
    </row>
    <row r="379" spans="2:7" ht="12">
      <c r="B379" s="21">
        <v>373</v>
      </c>
      <c r="C379" s="5" t="s">
        <v>1050</v>
      </c>
      <c r="D379" s="5" t="s">
        <v>755</v>
      </c>
      <c r="E379" s="10">
        <v>4.1</v>
      </c>
      <c r="F379" s="12">
        <v>189.25487999999999</v>
      </c>
      <c r="G379" s="27">
        <f t="shared" si="7"/>
        <v>775.9450079999999</v>
      </c>
    </row>
    <row r="380" spans="2:7" ht="12">
      <c r="B380" s="21">
        <v>374</v>
      </c>
      <c r="C380" s="5" t="s">
        <v>1051</v>
      </c>
      <c r="D380" s="5" t="s">
        <v>755</v>
      </c>
      <c r="E380" s="10">
        <v>38.42</v>
      </c>
      <c r="F380" s="12">
        <v>555.35328</v>
      </c>
      <c r="G380" s="27">
        <f t="shared" si="7"/>
        <v>21336.673017600002</v>
      </c>
    </row>
    <row r="381" spans="2:7" ht="12">
      <c r="B381" s="21">
        <v>375</v>
      </c>
      <c r="C381" s="5" t="s">
        <v>1052</v>
      </c>
      <c r="D381" s="5" t="s">
        <v>814</v>
      </c>
      <c r="E381" s="10">
        <v>1.05</v>
      </c>
      <c r="F381" s="12">
        <v>14.11272</v>
      </c>
      <c r="G381" s="27">
        <f t="shared" si="7"/>
        <v>14.818356</v>
      </c>
    </row>
    <row r="382" spans="2:7" ht="12">
      <c r="B382" s="21">
        <v>376</v>
      </c>
      <c r="C382" s="5" t="s">
        <v>1053</v>
      </c>
      <c r="D382" s="5" t="s">
        <v>753</v>
      </c>
      <c r="E382" s="10">
        <v>1</v>
      </c>
      <c r="F382" s="12">
        <v>6094.65096</v>
      </c>
      <c r="G382" s="27">
        <f t="shared" si="7"/>
        <v>6094.65096</v>
      </c>
    </row>
    <row r="383" spans="2:7" ht="24">
      <c r="B383" s="21">
        <v>377</v>
      </c>
      <c r="C383" s="5" t="s">
        <v>1054</v>
      </c>
      <c r="D383" s="5" t="s">
        <v>753</v>
      </c>
      <c r="E383" s="10">
        <v>110</v>
      </c>
      <c r="F383" s="12">
        <v>175.99895999999998</v>
      </c>
      <c r="G383" s="27">
        <f t="shared" si="7"/>
        <v>19359.885599999998</v>
      </c>
    </row>
    <row r="384" spans="2:7" ht="12">
      <c r="B384" s="21">
        <v>378</v>
      </c>
      <c r="C384" s="5" t="s">
        <v>1055</v>
      </c>
      <c r="D384" s="5" t="s">
        <v>102</v>
      </c>
      <c r="E384" s="10">
        <v>0.03</v>
      </c>
      <c r="F384" s="12">
        <v>2773.84104</v>
      </c>
      <c r="G384" s="27">
        <f t="shared" si="7"/>
        <v>83.21523119999999</v>
      </c>
    </row>
    <row r="385" spans="2:7" ht="12">
      <c r="B385" s="21">
        <v>379</v>
      </c>
      <c r="C385" s="5" t="s">
        <v>1056</v>
      </c>
      <c r="D385" s="5" t="s">
        <v>102</v>
      </c>
      <c r="E385" s="10">
        <v>1</v>
      </c>
      <c r="F385" s="12">
        <v>1959.81984</v>
      </c>
      <c r="G385" s="27">
        <f t="shared" si="7"/>
        <v>1959.81984</v>
      </c>
    </row>
    <row r="386" spans="2:7" ht="12">
      <c r="B386" s="21">
        <v>380</v>
      </c>
      <c r="C386" s="5" t="s">
        <v>1057</v>
      </c>
      <c r="D386" s="5" t="s">
        <v>627</v>
      </c>
      <c r="E386" s="10">
        <v>115</v>
      </c>
      <c r="F386" s="12">
        <v>24.443279999999998</v>
      </c>
      <c r="G386" s="27">
        <f t="shared" si="7"/>
        <v>2810.9772</v>
      </c>
    </row>
    <row r="387" spans="2:7" ht="12">
      <c r="B387" s="21">
        <v>381</v>
      </c>
      <c r="C387" s="5" t="s">
        <v>1058</v>
      </c>
      <c r="D387" s="5" t="s">
        <v>753</v>
      </c>
      <c r="E387" s="10">
        <v>1</v>
      </c>
      <c r="F387" s="12">
        <v>170.8092</v>
      </c>
      <c r="G387" s="27">
        <f t="shared" si="7"/>
        <v>170.8092</v>
      </c>
    </row>
    <row r="388" spans="2:7" ht="12">
      <c r="B388" s="21">
        <v>382</v>
      </c>
      <c r="C388" s="5" t="s">
        <v>1059</v>
      </c>
      <c r="D388" s="5" t="s">
        <v>837</v>
      </c>
      <c r="E388" s="10">
        <v>1000</v>
      </c>
      <c r="F388" s="12">
        <v>85.01903999999999</v>
      </c>
      <c r="G388" s="27">
        <f t="shared" si="7"/>
        <v>85019.04</v>
      </c>
    </row>
    <row r="389" spans="2:7" ht="12">
      <c r="B389" s="21">
        <v>383</v>
      </c>
      <c r="C389" s="5" t="s">
        <v>1060</v>
      </c>
      <c r="D389" s="5" t="s">
        <v>753</v>
      </c>
      <c r="E389" s="10">
        <v>101</v>
      </c>
      <c r="F389" s="12">
        <v>98.50752</v>
      </c>
      <c r="G389" s="27">
        <f t="shared" si="7"/>
        <v>9949.25952</v>
      </c>
    </row>
    <row r="390" spans="2:7" ht="12">
      <c r="B390" s="21">
        <v>384</v>
      </c>
      <c r="C390" s="5" t="s">
        <v>1061</v>
      </c>
      <c r="D390" s="5" t="s">
        <v>753</v>
      </c>
      <c r="E390" s="10">
        <v>1</v>
      </c>
      <c r="F390" s="12">
        <v>98.50752</v>
      </c>
      <c r="G390" s="27">
        <f t="shared" si="7"/>
        <v>98.50752</v>
      </c>
    </row>
    <row r="391" spans="2:7" ht="12">
      <c r="B391" s="21">
        <v>385</v>
      </c>
      <c r="C391" s="5" t="s">
        <v>1062</v>
      </c>
      <c r="D391" s="5" t="s">
        <v>753</v>
      </c>
      <c r="E391" s="10">
        <v>1</v>
      </c>
      <c r="F391" s="12">
        <v>372.42647999999997</v>
      </c>
      <c r="G391" s="27">
        <f t="shared" si="7"/>
        <v>372.42647999999997</v>
      </c>
    </row>
    <row r="392" spans="2:7" ht="12">
      <c r="B392" s="21">
        <v>386</v>
      </c>
      <c r="C392" s="5" t="s">
        <v>1063</v>
      </c>
      <c r="D392" s="5" t="s">
        <v>753</v>
      </c>
      <c r="E392" s="10">
        <v>1</v>
      </c>
      <c r="F392" s="12">
        <v>970.7299200000001</v>
      </c>
      <c r="G392" s="27">
        <f t="shared" si="7"/>
        <v>970.7299200000001</v>
      </c>
    </row>
    <row r="393" spans="2:7" ht="12">
      <c r="B393" s="21">
        <v>387</v>
      </c>
      <c r="C393" s="5" t="s">
        <v>1064</v>
      </c>
      <c r="D393" s="5" t="s">
        <v>753</v>
      </c>
      <c r="E393" s="10">
        <v>100</v>
      </c>
      <c r="F393" s="12">
        <v>25.01856</v>
      </c>
      <c r="G393" s="27">
        <f t="shared" si="7"/>
        <v>2501.856</v>
      </c>
    </row>
    <row r="394" spans="2:7" ht="12">
      <c r="B394" s="21">
        <v>388</v>
      </c>
      <c r="C394" s="5" t="s">
        <v>1065</v>
      </c>
      <c r="D394" s="5" t="s">
        <v>753</v>
      </c>
      <c r="E394" s="10">
        <v>200</v>
      </c>
      <c r="F394" s="12">
        <v>34.394400000000005</v>
      </c>
      <c r="G394" s="27">
        <f t="shared" si="7"/>
        <v>6878.880000000001</v>
      </c>
    </row>
    <row r="395" spans="2:7" ht="12">
      <c r="B395" s="21">
        <v>389</v>
      </c>
      <c r="C395" s="5" t="s">
        <v>1066</v>
      </c>
      <c r="D395" s="5" t="s">
        <v>753</v>
      </c>
      <c r="E395" s="10">
        <v>200</v>
      </c>
      <c r="F395" s="12">
        <v>57.73608</v>
      </c>
      <c r="G395" s="27">
        <f t="shared" si="7"/>
        <v>11547.216</v>
      </c>
    </row>
    <row r="396" spans="2:7" ht="12">
      <c r="B396" s="21">
        <v>390</v>
      </c>
      <c r="C396" s="5" t="s">
        <v>1067</v>
      </c>
      <c r="D396" s="5" t="s">
        <v>753</v>
      </c>
      <c r="E396" s="10">
        <v>100</v>
      </c>
      <c r="F396" s="12">
        <v>117.14904</v>
      </c>
      <c r="G396" s="27">
        <f t="shared" si="7"/>
        <v>11714.904</v>
      </c>
    </row>
    <row r="397" spans="2:7" ht="12">
      <c r="B397" s="21">
        <v>391</v>
      </c>
      <c r="C397" s="5" t="s">
        <v>1068</v>
      </c>
      <c r="D397" s="5" t="s">
        <v>753</v>
      </c>
      <c r="E397" s="10">
        <v>2700</v>
      </c>
      <c r="F397" s="12">
        <v>650.20104</v>
      </c>
      <c r="G397" s="27">
        <f t="shared" si="7"/>
        <v>1755542.8080000002</v>
      </c>
    </row>
    <row r="398" spans="2:7" ht="12">
      <c r="B398" s="21">
        <v>392</v>
      </c>
      <c r="C398" s="5" t="s">
        <v>1069</v>
      </c>
      <c r="D398" s="5" t="s">
        <v>753</v>
      </c>
      <c r="E398" s="10">
        <v>2</v>
      </c>
      <c r="F398" s="12">
        <v>7527.599999999999</v>
      </c>
      <c r="G398" s="27">
        <f t="shared" si="7"/>
        <v>15055.199999999999</v>
      </c>
    </row>
    <row r="399" spans="2:7" ht="12">
      <c r="B399" s="21">
        <v>393</v>
      </c>
      <c r="C399" s="5" t="s">
        <v>1070</v>
      </c>
      <c r="D399" s="5" t="s">
        <v>755</v>
      </c>
      <c r="E399" s="10">
        <v>2.02</v>
      </c>
      <c r="F399" s="12">
        <v>475.02215999999993</v>
      </c>
      <c r="G399" s="27">
        <f t="shared" si="7"/>
        <v>959.5447631999999</v>
      </c>
    </row>
    <row r="400" spans="2:7" ht="24">
      <c r="B400" s="21">
        <v>394</v>
      </c>
      <c r="C400" s="5" t="s">
        <v>1071</v>
      </c>
      <c r="D400" s="5" t="s">
        <v>627</v>
      </c>
      <c r="E400" s="10">
        <v>24.13786552</v>
      </c>
      <c r="F400" s="12">
        <v>150.57648</v>
      </c>
      <c r="G400" s="27">
        <f t="shared" si="7"/>
        <v>3634.5948247149695</v>
      </c>
    </row>
    <row r="401" spans="2:7" ht="12">
      <c r="B401" s="21">
        <v>395</v>
      </c>
      <c r="C401" s="5" t="s">
        <v>1072</v>
      </c>
      <c r="D401" s="5" t="s">
        <v>102</v>
      </c>
      <c r="E401" s="10">
        <v>0.71</v>
      </c>
      <c r="F401" s="12">
        <v>1842.1689599999997</v>
      </c>
      <c r="G401" s="27">
        <f t="shared" si="7"/>
        <v>1307.9399615999998</v>
      </c>
    </row>
    <row r="402" spans="2:7" ht="12">
      <c r="B402" s="21">
        <v>396</v>
      </c>
      <c r="C402" s="5" t="s">
        <v>1073</v>
      </c>
      <c r="D402" s="5" t="s">
        <v>766</v>
      </c>
      <c r="E402" s="10">
        <v>7E-05</v>
      </c>
      <c r="F402" s="12">
        <v>106082.50104000002</v>
      </c>
      <c r="G402" s="27">
        <f t="shared" si="7"/>
        <v>7.4257750728000005</v>
      </c>
    </row>
    <row r="403" spans="2:7" ht="12">
      <c r="B403" s="21">
        <v>397</v>
      </c>
      <c r="C403" s="5" t="s">
        <v>1074</v>
      </c>
      <c r="D403" s="5" t="s">
        <v>889</v>
      </c>
      <c r="E403" s="10">
        <v>1</v>
      </c>
      <c r="F403" s="12">
        <v>8296.90848</v>
      </c>
      <c r="G403" s="27">
        <f t="shared" si="7"/>
        <v>8296.90848</v>
      </c>
    </row>
    <row r="404" spans="2:7" ht="12">
      <c r="B404" s="21">
        <v>398</v>
      </c>
      <c r="C404" s="5" t="s">
        <v>1075</v>
      </c>
      <c r="D404" s="5" t="s">
        <v>889</v>
      </c>
      <c r="E404" s="10">
        <v>1</v>
      </c>
      <c r="F404" s="12">
        <v>5606.458559999999</v>
      </c>
      <c r="G404" s="27">
        <f t="shared" si="7"/>
        <v>5606.458559999999</v>
      </c>
    </row>
    <row r="405" spans="2:7" ht="12">
      <c r="B405" s="21">
        <v>399</v>
      </c>
      <c r="C405" s="5" t="s">
        <v>1076</v>
      </c>
      <c r="D405" s="5" t="s">
        <v>889</v>
      </c>
      <c r="E405" s="10">
        <v>1</v>
      </c>
      <c r="F405" s="12">
        <v>12506.59944</v>
      </c>
      <c r="G405" s="27">
        <f t="shared" si="7"/>
        <v>12506.59944</v>
      </c>
    </row>
    <row r="406" spans="2:7" ht="12">
      <c r="B406" s="21">
        <v>400</v>
      </c>
      <c r="C406" s="5" t="s">
        <v>1077</v>
      </c>
      <c r="D406" s="5" t="s">
        <v>766</v>
      </c>
      <c r="E406" s="10">
        <v>0.00017</v>
      </c>
      <c r="F406" s="12">
        <v>216877.52447999996</v>
      </c>
      <c r="G406" s="27">
        <f t="shared" si="7"/>
        <v>36.869179161599995</v>
      </c>
    </row>
    <row r="407" spans="2:7" ht="12">
      <c r="B407" s="21">
        <v>401</v>
      </c>
      <c r="C407" s="5" t="s">
        <v>1078</v>
      </c>
      <c r="D407" s="5" t="s">
        <v>755</v>
      </c>
      <c r="E407" s="10">
        <v>4.3</v>
      </c>
      <c r="F407" s="12">
        <v>46.30392</v>
      </c>
      <c r="G407" s="27">
        <f t="shared" si="7"/>
        <v>199.106856</v>
      </c>
    </row>
    <row r="408" spans="2:7" ht="12">
      <c r="B408" s="21">
        <v>402</v>
      </c>
      <c r="C408" s="5" t="s">
        <v>1079</v>
      </c>
      <c r="D408" s="5" t="s">
        <v>766</v>
      </c>
      <c r="E408" s="10">
        <v>0.03062</v>
      </c>
      <c r="F408" s="12">
        <v>58935.257280000005</v>
      </c>
      <c r="G408" s="27">
        <f t="shared" si="7"/>
        <v>1804.5975779136002</v>
      </c>
    </row>
    <row r="409" spans="2:7" ht="36">
      <c r="B409" s="21">
        <v>403</v>
      </c>
      <c r="C409" s="5" t="s">
        <v>1080</v>
      </c>
      <c r="D409" s="5" t="s">
        <v>766</v>
      </c>
      <c r="E409" s="10">
        <v>11.9</v>
      </c>
      <c r="F409" s="12">
        <v>3822.19704</v>
      </c>
      <c r="G409" s="27">
        <f t="shared" si="7"/>
        <v>45484.144776</v>
      </c>
    </row>
    <row r="410" spans="2:7" ht="12">
      <c r="B410" s="21">
        <v>404</v>
      </c>
      <c r="C410" s="5" t="s">
        <v>1081</v>
      </c>
      <c r="D410" s="5" t="s">
        <v>766</v>
      </c>
      <c r="E410" s="10">
        <v>0.00066</v>
      </c>
      <c r="F410" s="12">
        <v>9662.46408</v>
      </c>
      <c r="G410" s="27">
        <f t="shared" si="7"/>
        <v>6.3772262928</v>
      </c>
    </row>
    <row r="411" spans="2:7" ht="12">
      <c r="B411" s="21">
        <v>405</v>
      </c>
      <c r="C411" s="5" t="s">
        <v>1082</v>
      </c>
      <c r="D411" s="5" t="s">
        <v>762</v>
      </c>
      <c r="E411" s="10">
        <v>8</v>
      </c>
      <c r="F411" s="12">
        <v>4071.28104</v>
      </c>
      <c r="G411" s="27">
        <f t="shared" si="7"/>
        <v>32570.24832</v>
      </c>
    </row>
    <row r="412" spans="2:7" ht="12">
      <c r="B412" s="21">
        <v>406</v>
      </c>
      <c r="C412" s="5" t="s">
        <v>1083</v>
      </c>
      <c r="D412" s="5" t="s">
        <v>762</v>
      </c>
      <c r="E412" s="10">
        <v>8</v>
      </c>
      <c r="F412" s="12">
        <v>2572.6644</v>
      </c>
      <c r="G412" s="27">
        <f t="shared" si="7"/>
        <v>20581.3152</v>
      </c>
    </row>
    <row r="413" spans="2:7" ht="12">
      <c r="B413" s="21">
        <v>407</v>
      </c>
      <c r="C413" s="5" t="s">
        <v>1084</v>
      </c>
      <c r="D413" s="5" t="s">
        <v>766</v>
      </c>
      <c r="E413" s="10">
        <v>4E-06</v>
      </c>
      <c r="F413" s="12">
        <v>145044.41616</v>
      </c>
      <c r="G413" s="27">
        <f t="shared" si="7"/>
        <v>0.58017766464</v>
      </c>
    </row>
    <row r="414" spans="2:7" ht="24">
      <c r="B414" s="21">
        <v>408</v>
      </c>
      <c r="C414" s="5" t="s">
        <v>1085</v>
      </c>
      <c r="D414" s="5" t="s">
        <v>766</v>
      </c>
      <c r="E414" s="10">
        <v>0.00208</v>
      </c>
      <c r="F414" s="12">
        <v>369121.11695999996</v>
      </c>
      <c r="G414" s="27">
        <f t="shared" si="7"/>
        <v>767.7719232767998</v>
      </c>
    </row>
    <row r="415" spans="2:7" ht="24">
      <c r="B415" s="21">
        <v>409</v>
      </c>
      <c r="C415" s="5" t="s">
        <v>1086</v>
      </c>
      <c r="D415" s="5" t="s">
        <v>766</v>
      </c>
      <c r="E415" s="10">
        <v>0.0026</v>
      </c>
      <c r="F415" s="12">
        <v>240110.57447999995</v>
      </c>
      <c r="G415" s="27">
        <f t="shared" si="7"/>
        <v>624.2874936479999</v>
      </c>
    </row>
    <row r="416" spans="2:7" ht="12">
      <c r="B416" s="21">
        <v>410</v>
      </c>
      <c r="C416" s="5" t="s">
        <v>1087</v>
      </c>
      <c r="D416" s="5" t="s">
        <v>766</v>
      </c>
      <c r="E416" s="10">
        <v>0.3047</v>
      </c>
      <c r="F416" s="12">
        <v>37901.159999999996</v>
      </c>
      <c r="G416" s="27">
        <f t="shared" si="7"/>
        <v>11548.483452</v>
      </c>
    </row>
    <row r="417" spans="2:7" ht="12">
      <c r="B417" s="21">
        <v>411</v>
      </c>
      <c r="C417" s="5" t="s">
        <v>1088</v>
      </c>
      <c r="D417" s="5" t="s">
        <v>766</v>
      </c>
      <c r="E417" s="10">
        <v>2.621</v>
      </c>
      <c r="F417" s="12">
        <v>51114.63168</v>
      </c>
      <c r="G417" s="27">
        <f aca="true" t="shared" si="8" ref="G417:G480">E417*F417</f>
        <v>133971.44963328</v>
      </c>
    </row>
    <row r="418" spans="2:7" ht="12">
      <c r="B418" s="21">
        <v>412</v>
      </c>
      <c r="C418" s="5" t="s">
        <v>1089</v>
      </c>
      <c r="D418" s="5" t="s">
        <v>766</v>
      </c>
      <c r="E418" s="10">
        <v>0.72</v>
      </c>
      <c r="F418" s="12">
        <v>63277.15247999999</v>
      </c>
      <c r="G418" s="27">
        <f t="shared" si="8"/>
        <v>45559.54978559999</v>
      </c>
    </row>
    <row r="419" spans="2:7" ht="12">
      <c r="B419" s="21">
        <v>413</v>
      </c>
      <c r="C419" s="5" t="s">
        <v>1090</v>
      </c>
      <c r="D419" s="5" t="s">
        <v>753</v>
      </c>
      <c r="E419" s="10">
        <v>100</v>
      </c>
      <c r="F419" s="12">
        <v>80.97984</v>
      </c>
      <c r="G419" s="27">
        <f t="shared" si="8"/>
        <v>8097.9839999999995</v>
      </c>
    </row>
    <row r="420" spans="2:7" ht="12">
      <c r="B420" s="21">
        <v>414</v>
      </c>
      <c r="C420" s="5" t="s">
        <v>1091</v>
      </c>
      <c r="D420" s="5" t="s">
        <v>753</v>
      </c>
      <c r="E420" s="10">
        <v>2</v>
      </c>
      <c r="F420" s="12">
        <v>748.03536</v>
      </c>
      <c r="G420" s="27">
        <f t="shared" si="8"/>
        <v>1496.07072</v>
      </c>
    </row>
    <row r="421" spans="2:7" ht="12">
      <c r="B421" s="21">
        <v>415</v>
      </c>
      <c r="C421" s="5" t="s">
        <v>1092</v>
      </c>
      <c r="D421" s="5" t="s">
        <v>753</v>
      </c>
      <c r="E421" s="10">
        <v>1</v>
      </c>
      <c r="F421" s="12">
        <v>633.3343199999999</v>
      </c>
      <c r="G421" s="27">
        <f t="shared" si="8"/>
        <v>633.3343199999999</v>
      </c>
    </row>
    <row r="422" spans="2:7" ht="12">
      <c r="B422" s="21">
        <v>416</v>
      </c>
      <c r="C422" s="5" t="s">
        <v>1093</v>
      </c>
      <c r="D422" s="5" t="s">
        <v>753</v>
      </c>
      <c r="E422" s="10">
        <v>1</v>
      </c>
      <c r="F422" s="12">
        <v>602.208</v>
      </c>
      <c r="G422" s="27">
        <f t="shared" si="8"/>
        <v>602.208</v>
      </c>
    </row>
    <row r="423" spans="2:7" ht="12">
      <c r="B423" s="21">
        <v>417</v>
      </c>
      <c r="C423" s="5" t="s">
        <v>1094</v>
      </c>
      <c r="D423" s="5" t="s">
        <v>766</v>
      </c>
      <c r="E423" s="10">
        <v>0.029</v>
      </c>
      <c r="F423" s="12">
        <v>32416.89336</v>
      </c>
      <c r="G423" s="27">
        <f t="shared" si="8"/>
        <v>940.08990744</v>
      </c>
    </row>
    <row r="424" spans="2:7" ht="24">
      <c r="B424" s="21">
        <v>418</v>
      </c>
      <c r="C424" s="5" t="s">
        <v>1095</v>
      </c>
      <c r="D424" s="5" t="s">
        <v>627</v>
      </c>
      <c r="E424" s="10">
        <v>85.83333335</v>
      </c>
      <c r="F424" s="12">
        <v>402.39</v>
      </c>
      <c r="G424" s="27">
        <f t="shared" si="8"/>
        <v>34538.4750067065</v>
      </c>
    </row>
    <row r="425" spans="2:7" ht="12">
      <c r="B425" s="21">
        <v>419</v>
      </c>
      <c r="C425" s="5" t="s">
        <v>1096</v>
      </c>
      <c r="D425" s="5" t="s">
        <v>627</v>
      </c>
      <c r="E425" s="10">
        <v>99</v>
      </c>
      <c r="F425" s="12">
        <v>1001.8807199999999</v>
      </c>
      <c r="G425" s="27">
        <f t="shared" si="8"/>
        <v>99186.19127999998</v>
      </c>
    </row>
    <row r="426" spans="2:7" ht="12">
      <c r="B426" s="21">
        <v>420</v>
      </c>
      <c r="C426" s="5" t="s">
        <v>1097</v>
      </c>
      <c r="D426" s="5" t="s">
        <v>766</v>
      </c>
      <c r="E426" s="10">
        <v>0.04895</v>
      </c>
      <c r="F426" s="12">
        <v>75170.29535999999</v>
      </c>
      <c r="G426" s="27">
        <f t="shared" si="8"/>
        <v>3679.5859578719997</v>
      </c>
    </row>
    <row r="427" spans="2:7" ht="12">
      <c r="B427" s="21">
        <v>421</v>
      </c>
      <c r="C427" s="5" t="s">
        <v>1098</v>
      </c>
      <c r="D427" s="5" t="s">
        <v>766</v>
      </c>
      <c r="E427" s="10">
        <v>0.081818</v>
      </c>
      <c r="F427" s="12">
        <v>156440.12544</v>
      </c>
      <c r="G427" s="27">
        <f t="shared" si="8"/>
        <v>12799.61818324992</v>
      </c>
    </row>
    <row r="428" spans="2:7" ht="12">
      <c r="B428" s="21">
        <v>422</v>
      </c>
      <c r="C428" s="5" t="s">
        <v>1099</v>
      </c>
      <c r="D428" s="5" t="s">
        <v>766</v>
      </c>
      <c r="E428" s="10">
        <v>0.011</v>
      </c>
      <c r="F428" s="12">
        <v>14643.1404</v>
      </c>
      <c r="G428" s="27">
        <f t="shared" si="8"/>
        <v>161.07454439999998</v>
      </c>
    </row>
    <row r="429" spans="2:7" ht="12">
      <c r="B429" s="21">
        <v>423</v>
      </c>
      <c r="C429" s="5" t="s">
        <v>1100</v>
      </c>
      <c r="D429" s="5" t="s">
        <v>753</v>
      </c>
      <c r="E429" s="10">
        <v>3</v>
      </c>
      <c r="F429" s="12">
        <v>11507.558400000002</v>
      </c>
      <c r="G429" s="27">
        <f t="shared" si="8"/>
        <v>34522.675200000005</v>
      </c>
    </row>
    <row r="430" spans="2:7" ht="12">
      <c r="B430" s="21">
        <v>424</v>
      </c>
      <c r="C430" s="5" t="s">
        <v>1101</v>
      </c>
      <c r="D430" s="5" t="s">
        <v>753</v>
      </c>
      <c r="E430" s="10">
        <v>6</v>
      </c>
      <c r="F430" s="12">
        <v>2535.8097599999996</v>
      </c>
      <c r="G430" s="27">
        <f t="shared" si="8"/>
        <v>15214.858559999997</v>
      </c>
    </row>
    <row r="431" spans="2:7" ht="12">
      <c r="B431" s="21">
        <v>425</v>
      </c>
      <c r="C431" s="5" t="s">
        <v>1102</v>
      </c>
      <c r="D431" s="5" t="s">
        <v>631</v>
      </c>
      <c r="E431" s="10">
        <v>5.285</v>
      </c>
      <c r="F431" s="12">
        <v>542.0484</v>
      </c>
      <c r="G431" s="27">
        <f t="shared" si="8"/>
        <v>2864.725794</v>
      </c>
    </row>
    <row r="432" spans="2:7" ht="12">
      <c r="B432" s="21">
        <v>426</v>
      </c>
      <c r="C432" s="5" t="s">
        <v>1103</v>
      </c>
      <c r="D432" s="5" t="s">
        <v>1104</v>
      </c>
      <c r="E432" s="10">
        <v>0.0092</v>
      </c>
      <c r="F432" s="12">
        <v>117123.85008</v>
      </c>
      <c r="G432" s="27">
        <f t="shared" si="8"/>
        <v>1077.539420736</v>
      </c>
    </row>
    <row r="433" spans="2:7" ht="36">
      <c r="B433" s="21">
        <v>427</v>
      </c>
      <c r="C433" s="5" t="s">
        <v>1105</v>
      </c>
      <c r="D433" s="5" t="s">
        <v>766</v>
      </c>
      <c r="E433" s="10">
        <v>0.0062</v>
      </c>
      <c r="F433" s="12">
        <v>48870.721439999994</v>
      </c>
      <c r="G433" s="27">
        <f t="shared" si="8"/>
        <v>302.99847292799996</v>
      </c>
    </row>
    <row r="434" spans="2:7" ht="12">
      <c r="B434" s="21">
        <v>428</v>
      </c>
      <c r="C434" s="5" t="s">
        <v>1106</v>
      </c>
      <c r="D434" s="5" t="s">
        <v>627</v>
      </c>
      <c r="E434" s="10">
        <v>14.52</v>
      </c>
      <c r="F434" s="12">
        <v>32.17896</v>
      </c>
      <c r="G434" s="27">
        <f t="shared" si="8"/>
        <v>467.2384991999999</v>
      </c>
    </row>
    <row r="435" spans="2:7" ht="12">
      <c r="B435" s="21">
        <v>429</v>
      </c>
      <c r="C435" s="5" t="s">
        <v>1107</v>
      </c>
      <c r="D435" s="5" t="s">
        <v>766</v>
      </c>
      <c r="E435" s="10">
        <v>0.029</v>
      </c>
      <c r="F435" s="12">
        <v>48452.82336</v>
      </c>
      <c r="G435" s="27">
        <f t="shared" si="8"/>
        <v>1405.1318774400002</v>
      </c>
    </row>
    <row r="436" spans="2:7" ht="12">
      <c r="B436" s="21">
        <v>430</v>
      </c>
      <c r="C436" s="5" t="s">
        <v>1108</v>
      </c>
      <c r="D436" s="5" t="s">
        <v>753</v>
      </c>
      <c r="E436" s="10">
        <v>100</v>
      </c>
      <c r="F436" s="12">
        <v>1642.6936799999999</v>
      </c>
      <c r="G436" s="27">
        <f t="shared" si="8"/>
        <v>164269.368</v>
      </c>
    </row>
    <row r="437" spans="2:7" ht="12">
      <c r="B437" s="21">
        <v>431</v>
      </c>
      <c r="C437" s="5" t="s">
        <v>1109</v>
      </c>
      <c r="D437" s="5" t="s">
        <v>753</v>
      </c>
      <c r="E437" s="10">
        <v>100</v>
      </c>
      <c r="F437" s="12">
        <v>1223.95104</v>
      </c>
      <c r="G437" s="27">
        <f t="shared" si="8"/>
        <v>122395.10399999999</v>
      </c>
    </row>
    <row r="438" spans="2:7" ht="12">
      <c r="B438" s="21">
        <v>432</v>
      </c>
      <c r="C438" s="5" t="s">
        <v>1110</v>
      </c>
      <c r="D438" s="5" t="s">
        <v>753</v>
      </c>
      <c r="E438" s="10">
        <v>5</v>
      </c>
      <c r="F438" s="12">
        <v>375.36408</v>
      </c>
      <c r="G438" s="27">
        <f t="shared" si="8"/>
        <v>1876.8204</v>
      </c>
    </row>
    <row r="439" spans="2:7" ht="12">
      <c r="B439" s="21">
        <v>433</v>
      </c>
      <c r="C439" s="5" t="s">
        <v>1111</v>
      </c>
      <c r="D439" s="5" t="s">
        <v>753</v>
      </c>
      <c r="E439" s="10">
        <v>5</v>
      </c>
      <c r="F439" s="12">
        <v>294.4944</v>
      </c>
      <c r="G439" s="27">
        <f t="shared" si="8"/>
        <v>1472.472</v>
      </c>
    </row>
    <row r="440" spans="2:7" ht="12">
      <c r="B440" s="21">
        <v>434</v>
      </c>
      <c r="C440" s="5" t="s">
        <v>1112</v>
      </c>
      <c r="D440" s="5" t="s">
        <v>755</v>
      </c>
      <c r="E440" s="10">
        <v>0.276</v>
      </c>
      <c r="F440" s="12">
        <v>238.27607999999998</v>
      </c>
      <c r="G440" s="27">
        <f t="shared" si="8"/>
        <v>65.76419808</v>
      </c>
    </row>
    <row r="441" spans="2:7" ht="12">
      <c r="B441" s="21">
        <v>435</v>
      </c>
      <c r="C441" s="5" t="s">
        <v>1113</v>
      </c>
      <c r="D441" s="5" t="s">
        <v>814</v>
      </c>
      <c r="E441" s="10">
        <v>24.17</v>
      </c>
      <c r="F441" s="12">
        <v>33.58656</v>
      </c>
      <c r="G441" s="27">
        <f t="shared" si="8"/>
        <v>811.7871552</v>
      </c>
    </row>
    <row r="442" spans="2:7" ht="12">
      <c r="B442" s="21">
        <v>436</v>
      </c>
      <c r="C442" s="5" t="s">
        <v>1114</v>
      </c>
      <c r="D442" s="5" t="s">
        <v>837</v>
      </c>
      <c r="E442" s="10">
        <v>200</v>
      </c>
      <c r="F442" s="12">
        <v>231.05447999999998</v>
      </c>
      <c r="G442" s="27">
        <f t="shared" si="8"/>
        <v>46210.89599999999</v>
      </c>
    </row>
    <row r="443" spans="2:7" ht="12">
      <c r="B443" s="21">
        <v>437</v>
      </c>
      <c r="C443" s="5" t="s">
        <v>1115</v>
      </c>
      <c r="D443" s="5" t="s">
        <v>837</v>
      </c>
      <c r="E443" s="10">
        <v>200</v>
      </c>
      <c r="F443" s="12">
        <v>447.21288000000004</v>
      </c>
      <c r="G443" s="27">
        <f t="shared" si="8"/>
        <v>89442.576</v>
      </c>
    </row>
    <row r="444" spans="2:7" ht="12">
      <c r="B444" s="21">
        <v>438</v>
      </c>
      <c r="C444" s="5" t="s">
        <v>1116</v>
      </c>
      <c r="D444" s="5" t="s">
        <v>837</v>
      </c>
      <c r="E444" s="10">
        <v>200</v>
      </c>
      <c r="F444" s="12">
        <v>379.50120000000004</v>
      </c>
      <c r="G444" s="27">
        <f t="shared" si="8"/>
        <v>75900.24</v>
      </c>
    </row>
    <row r="445" spans="2:7" ht="12">
      <c r="B445" s="21">
        <v>439</v>
      </c>
      <c r="C445" s="5" t="s">
        <v>1117</v>
      </c>
      <c r="D445" s="5" t="s">
        <v>837</v>
      </c>
      <c r="E445" s="10">
        <v>100</v>
      </c>
      <c r="F445" s="12">
        <v>577.34856</v>
      </c>
      <c r="G445" s="27">
        <f t="shared" si="8"/>
        <v>57734.856</v>
      </c>
    </row>
    <row r="446" spans="2:7" ht="12">
      <c r="B446" s="21">
        <v>440</v>
      </c>
      <c r="C446" s="5" t="s">
        <v>1118</v>
      </c>
      <c r="D446" s="5" t="s">
        <v>837</v>
      </c>
      <c r="E446" s="10">
        <v>100</v>
      </c>
      <c r="F446" s="12">
        <v>746.0402399999999</v>
      </c>
      <c r="G446" s="27">
        <f t="shared" si="8"/>
        <v>74604.02399999999</v>
      </c>
    </row>
    <row r="447" spans="2:7" ht="12">
      <c r="B447" s="21">
        <v>441</v>
      </c>
      <c r="C447" s="5" t="s">
        <v>1119</v>
      </c>
      <c r="D447" s="5" t="s">
        <v>837</v>
      </c>
      <c r="E447" s="10">
        <v>100</v>
      </c>
      <c r="F447" s="12">
        <v>966.02976</v>
      </c>
      <c r="G447" s="27">
        <f t="shared" si="8"/>
        <v>96602.976</v>
      </c>
    </row>
    <row r="448" spans="2:7" ht="12">
      <c r="B448" s="21">
        <v>442</v>
      </c>
      <c r="C448" s="5" t="s">
        <v>1120</v>
      </c>
      <c r="D448" s="5" t="s">
        <v>837</v>
      </c>
      <c r="E448" s="10">
        <v>200</v>
      </c>
      <c r="F448" s="12">
        <v>298.59479999999996</v>
      </c>
      <c r="G448" s="27">
        <f t="shared" si="8"/>
        <v>59718.95999999999</v>
      </c>
    </row>
    <row r="449" spans="2:7" ht="24">
      <c r="B449" s="21">
        <v>443</v>
      </c>
      <c r="C449" s="5" t="s">
        <v>1121</v>
      </c>
      <c r="D449" s="5" t="s">
        <v>837</v>
      </c>
      <c r="E449" s="10">
        <v>199.6</v>
      </c>
      <c r="F449" s="12">
        <v>314.568</v>
      </c>
      <c r="G449" s="27">
        <f t="shared" si="8"/>
        <v>62787.77279999999</v>
      </c>
    </row>
    <row r="450" spans="2:7" ht="24">
      <c r="B450" s="21">
        <v>444</v>
      </c>
      <c r="C450" s="5" t="s">
        <v>1122</v>
      </c>
      <c r="D450" s="5" t="s">
        <v>837</v>
      </c>
      <c r="E450" s="10">
        <v>99.8</v>
      </c>
      <c r="F450" s="12">
        <v>405.21743999999995</v>
      </c>
      <c r="G450" s="27">
        <f t="shared" si="8"/>
        <v>40440.700511999996</v>
      </c>
    </row>
    <row r="451" spans="2:7" ht="24">
      <c r="B451" s="21">
        <v>445</v>
      </c>
      <c r="C451" s="5" t="s">
        <v>1123</v>
      </c>
      <c r="D451" s="5" t="s">
        <v>837</v>
      </c>
      <c r="E451" s="10">
        <v>199.6</v>
      </c>
      <c r="F451" s="12">
        <v>179.84232</v>
      </c>
      <c r="G451" s="27">
        <f t="shared" si="8"/>
        <v>35896.527072</v>
      </c>
    </row>
    <row r="452" spans="2:7" ht="24">
      <c r="B452" s="21">
        <v>446</v>
      </c>
      <c r="C452" s="5" t="s">
        <v>1124</v>
      </c>
      <c r="D452" s="5" t="s">
        <v>814</v>
      </c>
      <c r="E452" s="10">
        <v>0.94</v>
      </c>
      <c r="F452" s="12">
        <v>81.35928</v>
      </c>
      <c r="G452" s="27">
        <f t="shared" si="8"/>
        <v>76.4777232</v>
      </c>
    </row>
    <row r="453" spans="2:7" ht="24">
      <c r="B453" s="21">
        <v>447</v>
      </c>
      <c r="C453" s="5" t="s">
        <v>1125</v>
      </c>
      <c r="D453" s="5" t="s">
        <v>814</v>
      </c>
      <c r="E453" s="10">
        <v>0.96</v>
      </c>
      <c r="F453" s="12">
        <v>114.59088</v>
      </c>
      <c r="G453" s="27">
        <f t="shared" si="8"/>
        <v>110.0072448</v>
      </c>
    </row>
    <row r="454" spans="2:7" ht="24">
      <c r="B454" s="21">
        <v>448</v>
      </c>
      <c r="C454" s="5" t="s">
        <v>1126</v>
      </c>
      <c r="D454" s="5" t="s">
        <v>814</v>
      </c>
      <c r="E454" s="10">
        <v>0.98</v>
      </c>
      <c r="F454" s="12">
        <v>152.30232</v>
      </c>
      <c r="G454" s="27">
        <f t="shared" si="8"/>
        <v>149.25627360000001</v>
      </c>
    </row>
    <row r="455" spans="2:7" ht="12">
      <c r="B455" s="21">
        <v>449</v>
      </c>
      <c r="C455" s="5" t="s">
        <v>1127</v>
      </c>
      <c r="D455" s="5" t="s">
        <v>837</v>
      </c>
      <c r="E455" s="10">
        <v>95.8</v>
      </c>
      <c r="F455" s="12">
        <v>180.20952</v>
      </c>
      <c r="G455" s="27">
        <f t="shared" si="8"/>
        <v>17264.072016</v>
      </c>
    </row>
    <row r="456" spans="2:7" ht="12">
      <c r="B456" s="21">
        <v>450</v>
      </c>
      <c r="C456" s="5" t="s">
        <v>1128</v>
      </c>
      <c r="D456" s="5" t="s">
        <v>837</v>
      </c>
      <c r="E456" s="10">
        <v>97.8</v>
      </c>
      <c r="F456" s="12">
        <v>238.53312</v>
      </c>
      <c r="G456" s="27">
        <f t="shared" si="8"/>
        <v>23328.539136</v>
      </c>
    </row>
    <row r="457" spans="2:7" ht="36">
      <c r="B457" s="21">
        <v>451</v>
      </c>
      <c r="C457" s="5" t="s">
        <v>1129</v>
      </c>
      <c r="D457" s="5" t="s">
        <v>837</v>
      </c>
      <c r="E457" s="10">
        <v>100</v>
      </c>
      <c r="F457" s="12">
        <v>93.02399999999999</v>
      </c>
      <c r="G457" s="27">
        <f t="shared" si="8"/>
        <v>9302.399999999998</v>
      </c>
    </row>
    <row r="458" spans="2:7" ht="36">
      <c r="B458" s="21">
        <v>452</v>
      </c>
      <c r="C458" s="5" t="s">
        <v>1130</v>
      </c>
      <c r="D458" s="5" t="s">
        <v>837</v>
      </c>
      <c r="E458" s="10">
        <v>100</v>
      </c>
      <c r="F458" s="12">
        <v>119.79288000000001</v>
      </c>
      <c r="G458" s="27">
        <f t="shared" si="8"/>
        <v>11979.288</v>
      </c>
    </row>
    <row r="459" spans="2:7" ht="36">
      <c r="B459" s="21">
        <v>453</v>
      </c>
      <c r="C459" s="5" t="s">
        <v>1131</v>
      </c>
      <c r="D459" s="5" t="s">
        <v>837</v>
      </c>
      <c r="E459" s="10">
        <v>100</v>
      </c>
      <c r="F459" s="12">
        <v>167.8104</v>
      </c>
      <c r="G459" s="27">
        <f t="shared" si="8"/>
        <v>16781.039999999997</v>
      </c>
    </row>
    <row r="460" spans="2:7" ht="36">
      <c r="B460" s="21">
        <v>454</v>
      </c>
      <c r="C460" s="5" t="s">
        <v>1132</v>
      </c>
      <c r="D460" s="5" t="s">
        <v>837</v>
      </c>
      <c r="E460" s="10">
        <v>100</v>
      </c>
      <c r="F460" s="12">
        <v>216.53784</v>
      </c>
      <c r="G460" s="27">
        <f t="shared" si="8"/>
        <v>21653.784</v>
      </c>
    </row>
    <row r="461" spans="2:7" ht="36">
      <c r="B461" s="21">
        <v>455</v>
      </c>
      <c r="C461" s="5" t="s">
        <v>1133</v>
      </c>
      <c r="D461" s="5" t="s">
        <v>837</v>
      </c>
      <c r="E461" s="10">
        <v>200</v>
      </c>
      <c r="F461" s="12">
        <v>289.5372</v>
      </c>
      <c r="G461" s="27">
        <f t="shared" si="8"/>
        <v>57907.439999999995</v>
      </c>
    </row>
    <row r="462" spans="2:7" ht="36">
      <c r="B462" s="21">
        <v>456</v>
      </c>
      <c r="C462" s="5" t="s">
        <v>1134</v>
      </c>
      <c r="D462" s="5" t="s">
        <v>837</v>
      </c>
      <c r="E462" s="10">
        <v>200</v>
      </c>
      <c r="F462" s="12">
        <v>329.17032</v>
      </c>
      <c r="G462" s="27">
        <f t="shared" si="8"/>
        <v>65834.064</v>
      </c>
    </row>
    <row r="463" spans="2:7" ht="36">
      <c r="B463" s="21">
        <v>457</v>
      </c>
      <c r="C463" s="5" t="s">
        <v>1135</v>
      </c>
      <c r="D463" s="5" t="s">
        <v>837</v>
      </c>
      <c r="E463" s="10">
        <v>200</v>
      </c>
      <c r="F463" s="12">
        <v>530.33472</v>
      </c>
      <c r="G463" s="27">
        <f t="shared" si="8"/>
        <v>106066.94399999999</v>
      </c>
    </row>
    <row r="464" spans="2:7" ht="36">
      <c r="B464" s="21">
        <v>458</v>
      </c>
      <c r="C464" s="5" t="s">
        <v>1136</v>
      </c>
      <c r="D464" s="5" t="s">
        <v>837</v>
      </c>
      <c r="E464" s="10">
        <v>237</v>
      </c>
      <c r="F464" s="12">
        <v>447.81264000000004</v>
      </c>
      <c r="G464" s="27">
        <f t="shared" si="8"/>
        <v>106131.59568000001</v>
      </c>
    </row>
    <row r="465" spans="2:7" ht="36">
      <c r="B465" s="21">
        <v>459</v>
      </c>
      <c r="C465" s="5" t="s">
        <v>1137</v>
      </c>
      <c r="D465" s="5" t="s">
        <v>837</v>
      </c>
      <c r="E465" s="10">
        <v>1110</v>
      </c>
      <c r="F465" s="12">
        <v>224.68967999999998</v>
      </c>
      <c r="G465" s="27">
        <f t="shared" si="8"/>
        <v>249405.54479999997</v>
      </c>
    </row>
    <row r="466" spans="2:7" ht="36">
      <c r="B466" s="21">
        <v>460</v>
      </c>
      <c r="C466" s="5" t="s">
        <v>1138</v>
      </c>
      <c r="D466" s="5" t="s">
        <v>855</v>
      </c>
      <c r="E466" s="10">
        <v>7.01</v>
      </c>
      <c r="F466" s="12">
        <v>409.56264000000004</v>
      </c>
      <c r="G466" s="27">
        <f t="shared" si="8"/>
        <v>2871.0341064000004</v>
      </c>
    </row>
    <row r="467" spans="2:7" ht="12">
      <c r="B467" s="21">
        <v>461</v>
      </c>
      <c r="C467" s="5" t="s">
        <v>1139</v>
      </c>
      <c r="D467" s="5" t="s">
        <v>837</v>
      </c>
      <c r="E467" s="10">
        <v>99.8</v>
      </c>
      <c r="F467" s="12">
        <v>966.4581599999999</v>
      </c>
      <c r="G467" s="27">
        <f t="shared" si="8"/>
        <v>96452.52436799998</v>
      </c>
    </row>
    <row r="468" spans="2:7" ht="12">
      <c r="B468" s="21">
        <v>462</v>
      </c>
      <c r="C468" s="5" t="s">
        <v>1140</v>
      </c>
      <c r="D468" s="5" t="s">
        <v>837</v>
      </c>
      <c r="E468" s="10">
        <v>99.8</v>
      </c>
      <c r="F468" s="12">
        <v>1816.6607999999999</v>
      </c>
      <c r="G468" s="27">
        <f t="shared" si="8"/>
        <v>181302.74784</v>
      </c>
    </row>
    <row r="469" spans="2:7" ht="12">
      <c r="B469" s="21">
        <v>463</v>
      </c>
      <c r="C469" s="5" t="s">
        <v>1141</v>
      </c>
      <c r="D469" s="5" t="s">
        <v>837</v>
      </c>
      <c r="E469" s="10">
        <v>99.8</v>
      </c>
      <c r="F469" s="12">
        <v>526.77288</v>
      </c>
      <c r="G469" s="27">
        <f t="shared" si="8"/>
        <v>52571.933423999995</v>
      </c>
    </row>
    <row r="470" spans="2:7" ht="12">
      <c r="B470" s="21">
        <v>464</v>
      </c>
      <c r="C470" s="5" t="s">
        <v>1142</v>
      </c>
      <c r="D470" s="5" t="s">
        <v>753</v>
      </c>
      <c r="E470" s="10">
        <v>1</v>
      </c>
      <c r="F470" s="12">
        <v>9286.87968</v>
      </c>
      <c r="G470" s="27">
        <f t="shared" si="8"/>
        <v>9286.87968</v>
      </c>
    </row>
    <row r="471" spans="2:7" ht="12">
      <c r="B471" s="21">
        <v>465</v>
      </c>
      <c r="C471" s="5" t="s">
        <v>1143</v>
      </c>
      <c r="D471" s="5" t="s">
        <v>762</v>
      </c>
      <c r="E471" s="10">
        <v>1</v>
      </c>
      <c r="F471" s="12">
        <v>2779.83864</v>
      </c>
      <c r="G471" s="27">
        <f t="shared" si="8"/>
        <v>2779.83864</v>
      </c>
    </row>
    <row r="472" spans="2:7" ht="12">
      <c r="B472" s="21">
        <v>466</v>
      </c>
      <c r="C472" s="5" t="s">
        <v>1144</v>
      </c>
      <c r="D472" s="5" t="s">
        <v>762</v>
      </c>
      <c r="E472" s="10">
        <v>1</v>
      </c>
      <c r="F472" s="12">
        <v>2310.2999999999997</v>
      </c>
      <c r="G472" s="27">
        <f t="shared" si="8"/>
        <v>2310.2999999999997</v>
      </c>
    </row>
    <row r="473" spans="2:7" ht="12">
      <c r="B473" s="21">
        <v>467</v>
      </c>
      <c r="C473" s="5" t="s">
        <v>1145</v>
      </c>
      <c r="D473" s="5" t="s">
        <v>753</v>
      </c>
      <c r="E473" s="10">
        <v>120</v>
      </c>
      <c r="F473" s="12">
        <v>4.11264</v>
      </c>
      <c r="G473" s="27">
        <f t="shared" si="8"/>
        <v>493.5168</v>
      </c>
    </row>
    <row r="474" spans="2:7" ht="12">
      <c r="B474" s="21">
        <v>468</v>
      </c>
      <c r="C474" s="5" t="s">
        <v>1146</v>
      </c>
      <c r="D474" s="5" t="s">
        <v>766</v>
      </c>
      <c r="E474" s="10">
        <v>0.1001</v>
      </c>
      <c r="F474" s="12">
        <v>23177.45592</v>
      </c>
      <c r="G474" s="27">
        <f t="shared" si="8"/>
        <v>2320.0633375919997</v>
      </c>
    </row>
    <row r="475" spans="2:7" ht="12">
      <c r="B475" s="21">
        <v>469</v>
      </c>
      <c r="C475" s="5" t="s">
        <v>1147</v>
      </c>
      <c r="D475" s="5" t="s">
        <v>753</v>
      </c>
      <c r="E475" s="10">
        <v>1</v>
      </c>
      <c r="F475" s="12">
        <v>122.06952000000001</v>
      </c>
      <c r="G475" s="27">
        <f t="shared" si="8"/>
        <v>122.06952000000001</v>
      </c>
    </row>
    <row r="476" spans="2:7" ht="12">
      <c r="B476" s="21">
        <v>470</v>
      </c>
      <c r="C476" s="5" t="s">
        <v>1148</v>
      </c>
      <c r="D476" s="5" t="s">
        <v>17</v>
      </c>
      <c r="E476" s="10">
        <v>0.0618</v>
      </c>
      <c r="F476" s="12">
        <v>47888.63279999999</v>
      </c>
      <c r="G476" s="27">
        <f t="shared" si="8"/>
        <v>2959.5175070399996</v>
      </c>
    </row>
    <row r="477" spans="2:7" ht="12">
      <c r="B477" s="21">
        <v>471</v>
      </c>
      <c r="C477" s="5" t="s">
        <v>1149</v>
      </c>
      <c r="D477" s="5" t="s">
        <v>954</v>
      </c>
      <c r="E477" s="10">
        <v>0.25</v>
      </c>
      <c r="F477" s="12">
        <v>91488.27168000002</v>
      </c>
      <c r="G477" s="27">
        <f t="shared" si="8"/>
        <v>22872.067920000005</v>
      </c>
    </row>
    <row r="478" spans="2:7" ht="12">
      <c r="B478" s="21">
        <v>472</v>
      </c>
      <c r="C478" s="5" t="s">
        <v>1150</v>
      </c>
      <c r="D478" s="5" t="s">
        <v>954</v>
      </c>
      <c r="E478" s="10">
        <v>0.29</v>
      </c>
      <c r="F478" s="12">
        <v>82256.56992</v>
      </c>
      <c r="G478" s="27">
        <f t="shared" si="8"/>
        <v>23854.405276799996</v>
      </c>
    </row>
    <row r="479" spans="2:7" ht="12">
      <c r="B479" s="21">
        <v>473</v>
      </c>
      <c r="C479" s="5" t="s">
        <v>1151</v>
      </c>
      <c r="D479" s="5" t="s">
        <v>954</v>
      </c>
      <c r="E479" s="10">
        <v>0.17</v>
      </c>
      <c r="F479" s="12">
        <v>91488.27168000002</v>
      </c>
      <c r="G479" s="27">
        <f t="shared" si="8"/>
        <v>15553.006185600005</v>
      </c>
    </row>
    <row r="480" spans="2:7" ht="24">
      <c r="B480" s="21">
        <v>474</v>
      </c>
      <c r="C480" s="5" t="s">
        <v>1152</v>
      </c>
      <c r="D480" s="5" t="s">
        <v>102</v>
      </c>
      <c r="E480" s="10">
        <v>0.5</v>
      </c>
      <c r="F480" s="12">
        <v>1938.04488</v>
      </c>
      <c r="G480" s="27">
        <f t="shared" si="8"/>
        <v>969.02244</v>
      </c>
    </row>
    <row r="481" spans="2:7" ht="12">
      <c r="B481" s="21">
        <v>475</v>
      </c>
      <c r="C481" s="5" t="s">
        <v>1153</v>
      </c>
      <c r="D481" s="5" t="s">
        <v>102</v>
      </c>
      <c r="E481" s="10">
        <v>0.509</v>
      </c>
      <c r="F481" s="12">
        <v>1776.70944</v>
      </c>
      <c r="G481" s="27">
        <f aca="true" t="shared" si="9" ref="G481:G514">E481*F481</f>
        <v>904.3451049600001</v>
      </c>
    </row>
    <row r="482" spans="2:7" ht="12">
      <c r="B482" s="21">
        <v>476</v>
      </c>
      <c r="C482" s="5" t="s">
        <v>1154</v>
      </c>
      <c r="D482" s="5" t="s">
        <v>753</v>
      </c>
      <c r="E482" s="10">
        <v>0.5</v>
      </c>
      <c r="F482" s="12">
        <v>3000.31776</v>
      </c>
      <c r="G482" s="27">
        <f t="shared" si="9"/>
        <v>1500.15888</v>
      </c>
    </row>
    <row r="483" spans="2:7" ht="12">
      <c r="B483" s="21">
        <v>477</v>
      </c>
      <c r="C483" s="5" t="s">
        <v>1155</v>
      </c>
      <c r="D483" s="5" t="s">
        <v>753</v>
      </c>
      <c r="E483" s="10">
        <v>8</v>
      </c>
      <c r="F483" s="12">
        <v>772.3439999999999</v>
      </c>
      <c r="G483" s="27">
        <f t="shared" si="9"/>
        <v>6178.7519999999995</v>
      </c>
    </row>
    <row r="484" spans="2:7" ht="24">
      <c r="B484" s="21">
        <v>478</v>
      </c>
      <c r="C484" s="5" t="s">
        <v>1156</v>
      </c>
      <c r="D484" s="5" t="s">
        <v>753</v>
      </c>
      <c r="E484" s="10">
        <v>100</v>
      </c>
      <c r="F484" s="12">
        <v>65.3004</v>
      </c>
      <c r="G484" s="27">
        <f t="shared" si="9"/>
        <v>6530.04</v>
      </c>
    </row>
    <row r="485" spans="2:7" ht="24">
      <c r="B485" s="21">
        <v>479</v>
      </c>
      <c r="C485" s="5" t="s">
        <v>1157</v>
      </c>
      <c r="D485" s="5" t="s">
        <v>753</v>
      </c>
      <c r="E485" s="10">
        <v>100</v>
      </c>
      <c r="F485" s="12">
        <v>88.26263999999999</v>
      </c>
      <c r="G485" s="27">
        <f t="shared" si="9"/>
        <v>8826.264</v>
      </c>
    </row>
    <row r="486" spans="2:7" ht="12">
      <c r="B486" s="21">
        <v>480</v>
      </c>
      <c r="C486" s="5" t="s">
        <v>1158</v>
      </c>
      <c r="D486" s="5" t="s">
        <v>753</v>
      </c>
      <c r="E486" s="10">
        <v>1</v>
      </c>
      <c r="F486" s="12">
        <v>133.31807999999998</v>
      </c>
      <c r="G486" s="27">
        <f t="shared" si="9"/>
        <v>133.31807999999998</v>
      </c>
    </row>
    <row r="487" spans="2:7" ht="12">
      <c r="B487" s="21">
        <v>481</v>
      </c>
      <c r="C487" s="5" t="s">
        <v>1159</v>
      </c>
      <c r="D487" s="5" t="s">
        <v>766</v>
      </c>
      <c r="E487" s="10">
        <v>4.0792</v>
      </c>
      <c r="F487" s="12">
        <v>16047.01944</v>
      </c>
      <c r="G487" s="27">
        <f t="shared" si="9"/>
        <v>65459.001699648004</v>
      </c>
    </row>
    <row r="488" spans="2:7" ht="12">
      <c r="B488" s="21">
        <v>482</v>
      </c>
      <c r="C488" s="5" t="s">
        <v>1160</v>
      </c>
      <c r="D488" s="5" t="s">
        <v>766</v>
      </c>
      <c r="E488" s="10">
        <v>0.048</v>
      </c>
      <c r="F488" s="12">
        <v>16610.43888</v>
      </c>
      <c r="G488" s="27">
        <f t="shared" si="9"/>
        <v>797.3010662400001</v>
      </c>
    </row>
    <row r="489" spans="2:7" ht="12">
      <c r="B489" s="21">
        <v>483</v>
      </c>
      <c r="C489" s="5" t="s">
        <v>1161</v>
      </c>
      <c r="D489" s="5" t="s">
        <v>753</v>
      </c>
      <c r="E489" s="10">
        <v>500</v>
      </c>
      <c r="F489" s="12">
        <v>39.853440000000006</v>
      </c>
      <c r="G489" s="27">
        <f t="shared" si="9"/>
        <v>19926.720000000005</v>
      </c>
    </row>
    <row r="490" spans="2:7" ht="12">
      <c r="B490" s="21">
        <v>484</v>
      </c>
      <c r="C490" s="5" t="s">
        <v>1162</v>
      </c>
      <c r="D490" s="5" t="s">
        <v>753</v>
      </c>
      <c r="E490" s="10">
        <v>10</v>
      </c>
      <c r="F490" s="12">
        <v>423.11232</v>
      </c>
      <c r="G490" s="27">
        <f t="shared" si="9"/>
        <v>4231.1232</v>
      </c>
    </row>
    <row r="491" spans="2:7" ht="12">
      <c r="B491" s="21">
        <v>485</v>
      </c>
      <c r="C491" s="5" t="s">
        <v>1163</v>
      </c>
      <c r="D491" s="5" t="s">
        <v>766</v>
      </c>
      <c r="E491" s="10">
        <v>0.003</v>
      </c>
      <c r="F491" s="12">
        <v>55948.21992</v>
      </c>
      <c r="G491" s="27">
        <f t="shared" si="9"/>
        <v>167.84465976</v>
      </c>
    </row>
    <row r="492" spans="2:7" ht="12">
      <c r="B492" s="21">
        <v>486</v>
      </c>
      <c r="C492" s="5" t="s">
        <v>1164</v>
      </c>
      <c r="D492" s="5" t="s">
        <v>753</v>
      </c>
      <c r="E492" s="10">
        <v>1</v>
      </c>
      <c r="F492" s="12">
        <v>35393.11056</v>
      </c>
      <c r="G492" s="27">
        <f t="shared" si="9"/>
        <v>35393.11056</v>
      </c>
    </row>
    <row r="493" spans="2:7" ht="24">
      <c r="B493" s="21">
        <v>487</v>
      </c>
      <c r="C493" s="5" t="s">
        <v>1165</v>
      </c>
      <c r="D493" s="5" t="s">
        <v>753</v>
      </c>
      <c r="E493" s="10">
        <v>100</v>
      </c>
      <c r="F493" s="12">
        <v>2715.1992</v>
      </c>
      <c r="G493" s="27">
        <f t="shared" si="9"/>
        <v>271519.92</v>
      </c>
    </row>
    <row r="494" spans="2:7" ht="12">
      <c r="B494" s="21">
        <v>488</v>
      </c>
      <c r="C494" s="5" t="s">
        <v>1166</v>
      </c>
      <c r="D494" s="5" t="s">
        <v>627</v>
      </c>
      <c r="E494" s="10">
        <v>3.38035</v>
      </c>
      <c r="F494" s="12">
        <v>406.99224</v>
      </c>
      <c r="G494" s="27">
        <f t="shared" si="9"/>
        <v>1375.7762184839999</v>
      </c>
    </row>
    <row r="495" spans="2:7" ht="24">
      <c r="B495" s="21">
        <v>489</v>
      </c>
      <c r="C495" s="5" t="s">
        <v>1167</v>
      </c>
      <c r="D495" s="5" t="s">
        <v>766</v>
      </c>
      <c r="E495" s="10">
        <v>0.01845</v>
      </c>
      <c r="F495" s="12">
        <v>319104.54792</v>
      </c>
      <c r="G495" s="27">
        <f t="shared" si="9"/>
        <v>5887.478909124</v>
      </c>
    </row>
    <row r="496" spans="2:7" ht="12">
      <c r="B496" s="21">
        <v>490</v>
      </c>
      <c r="C496" s="5" t="s">
        <v>1168</v>
      </c>
      <c r="D496" s="5" t="s">
        <v>766</v>
      </c>
      <c r="E496" s="10">
        <v>0.0002</v>
      </c>
      <c r="F496" s="12">
        <v>512667.35711999994</v>
      </c>
      <c r="G496" s="27">
        <f t="shared" si="9"/>
        <v>102.533471424</v>
      </c>
    </row>
    <row r="497" spans="2:7" ht="12">
      <c r="B497" s="21">
        <v>491</v>
      </c>
      <c r="C497" s="5" t="s">
        <v>1169</v>
      </c>
      <c r="D497" s="5" t="s">
        <v>766</v>
      </c>
      <c r="E497" s="10">
        <v>0.01545</v>
      </c>
      <c r="F497" s="12">
        <v>73319.36256</v>
      </c>
      <c r="G497" s="27">
        <f t="shared" si="9"/>
        <v>1132.784151552</v>
      </c>
    </row>
    <row r="498" spans="2:7" ht="12">
      <c r="B498" s="21">
        <v>492</v>
      </c>
      <c r="C498" s="5" t="s">
        <v>1170</v>
      </c>
      <c r="D498" s="5" t="s">
        <v>755</v>
      </c>
      <c r="E498" s="10">
        <v>0.57</v>
      </c>
      <c r="F498" s="12">
        <v>189.09576</v>
      </c>
      <c r="G498" s="27">
        <f t="shared" si="9"/>
        <v>107.7845832</v>
      </c>
    </row>
    <row r="499" spans="2:7" ht="12">
      <c r="B499" s="21">
        <v>493</v>
      </c>
      <c r="C499" s="5" t="s">
        <v>1171</v>
      </c>
      <c r="D499" s="5" t="s">
        <v>755</v>
      </c>
      <c r="E499" s="10">
        <v>8.1</v>
      </c>
      <c r="F499" s="12">
        <v>97.45488</v>
      </c>
      <c r="G499" s="27">
        <f t="shared" si="9"/>
        <v>789.3845279999999</v>
      </c>
    </row>
    <row r="500" spans="2:7" ht="12">
      <c r="B500" s="21">
        <v>494</v>
      </c>
      <c r="C500" s="5" t="s">
        <v>1172</v>
      </c>
      <c r="D500" s="5" t="s">
        <v>766</v>
      </c>
      <c r="E500" s="10">
        <v>0.1314</v>
      </c>
      <c r="F500" s="12">
        <v>24153.375600000003</v>
      </c>
      <c r="G500" s="27">
        <f t="shared" si="9"/>
        <v>3173.75355384</v>
      </c>
    </row>
    <row r="501" spans="2:7" ht="12">
      <c r="B501" s="21">
        <v>495</v>
      </c>
      <c r="C501" s="5" t="s">
        <v>1173</v>
      </c>
      <c r="D501" s="5" t="s">
        <v>766</v>
      </c>
      <c r="E501" s="10">
        <v>0.07677</v>
      </c>
      <c r="F501" s="12">
        <v>29482.87968</v>
      </c>
      <c r="G501" s="27">
        <f t="shared" si="9"/>
        <v>2263.4006730336</v>
      </c>
    </row>
    <row r="502" spans="2:7" ht="12">
      <c r="B502" s="21">
        <v>496</v>
      </c>
      <c r="C502" s="5" t="s">
        <v>1174</v>
      </c>
      <c r="D502" s="5" t="s">
        <v>837</v>
      </c>
      <c r="E502" s="10">
        <v>204</v>
      </c>
      <c r="F502" s="12">
        <v>16.37712</v>
      </c>
      <c r="G502" s="27">
        <f t="shared" si="9"/>
        <v>3340.9324800000004</v>
      </c>
    </row>
    <row r="503" spans="2:7" ht="12">
      <c r="B503" s="21">
        <v>497</v>
      </c>
      <c r="C503" s="5" t="s">
        <v>1175</v>
      </c>
      <c r="D503" s="5" t="s">
        <v>766</v>
      </c>
      <c r="E503" s="10">
        <v>0.015285</v>
      </c>
      <c r="F503" s="12">
        <v>116311.9464</v>
      </c>
      <c r="G503" s="27">
        <f t="shared" si="9"/>
        <v>1777.828100724</v>
      </c>
    </row>
    <row r="504" spans="2:7" ht="12">
      <c r="B504" s="21">
        <v>498</v>
      </c>
      <c r="C504" s="5" t="s">
        <v>1176</v>
      </c>
      <c r="D504" s="5" t="s">
        <v>766</v>
      </c>
      <c r="E504" s="10">
        <v>0.022</v>
      </c>
      <c r="F504" s="12">
        <v>122315.98464</v>
      </c>
      <c r="G504" s="27">
        <f t="shared" si="9"/>
        <v>2690.9516620799996</v>
      </c>
    </row>
    <row r="505" spans="2:7" ht="12">
      <c r="B505" s="21">
        <v>499</v>
      </c>
      <c r="C505" s="5" t="s">
        <v>1177</v>
      </c>
      <c r="D505" s="5" t="s">
        <v>766</v>
      </c>
      <c r="E505" s="10">
        <v>0.003</v>
      </c>
      <c r="F505" s="12">
        <v>136360.44215999998</v>
      </c>
      <c r="G505" s="27">
        <f t="shared" si="9"/>
        <v>409.0813264799999</v>
      </c>
    </row>
    <row r="506" spans="2:7" ht="24">
      <c r="B506" s="21">
        <v>500</v>
      </c>
      <c r="C506" s="5" t="s">
        <v>1178</v>
      </c>
      <c r="D506" s="5" t="s">
        <v>17</v>
      </c>
      <c r="E506" s="10">
        <v>6.9275</v>
      </c>
      <c r="F506" s="12">
        <v>1411.55352</v>
      </c>
      <c r="G506" s="27">
        <f t="shared" si="9"/>
        <v>9778.5370098</v>
      </c>
    </row>
    <row r="507" spans="2:7" ht="12">
      <c r="B507" s="21">
        <v>501</v>
      </c>
      <c r="C507" s="5" t="s">
        <v>1179</v>
      </c>
      <c r="D507" s="5" t="s">
        <v>753</v>
      </c>
      <c r="E507" s="10">
        <v>100</v>
      </c>
      <c r="F507" s="12">
        <v>65.26368</v>
      </c>
      <c r="G507" s="27">
        <f t="shared" si="9"/>
        <v>6526.3679999999995</v>
      </c>
    </row>
    <row r="508" spans="2:7" ht="12">
      <c r="B508" s="21">
        <v>502</v>
      </c>
      <c r="C508" s="5" t="s">
        <v>1180</v>
      </c>
      <c r="D508" s="5" t="s">
        <v>753</v>
      </c>
      <c r="E508" s="10">
        <v>1</v>
      </c>
      <c r="F508" s="12">
        <v>3572.5377599999997</v>
      </c>
      <c r="G508" s="27">
        <f t="shared" si="9"/>
        <v>3572.5377599999997</v>
      </c>
    </row>
    <row r="509" spans="2:7" ht="12">
      <c r="B509" s="21">
        <v>503</v>
      </c>
      <c r="C509" s="5" t="s">
        <v>1181</v>
      </c>
      <c r="D509" s="5" t="s">
        <v>753</v>
      </c>
      <c r="E509" s="10">
        <v>1</v>
      </c>
      <c r="F509" s="12">
        <v>7646.80536</v>
      </c>
      <c r="G509" s="27">
        <f t="shared" si="9"/>
        <v>7646.80536</v>
      </c>
    </row>
    <row r="510" spans="2:7" ht="12">
      <c r="B510" s="21">
        <v>504</v>
      </c>
      <c r="C510" s="5" t="s">
        <v>1181</v>
      </c>
      <c r="D510" s="5" t="s">
        <v>753</v>
      </c>
      <c r="E510" s="10">
        <v>1</v>
      </c>
      <c r="F510" s="12">
        <v>4022.1007200000004</v>
      </c>
      <c r="G510" s="27">
        <f t="shared" si="9"/>
        <v>4022.1007200000004</v>
      </c>
    </row>
    <row r="511" spans="2:7" ht="12">
      <c r="B511" s="21">
        <v>505</v>
      </c>
      <c r="C511" s="5" t="s">
        <v>1182</v>
      </c>
      <c r="D511" s="5" t="s">
        <v>889</v>
      </c>
      <c r="E511" s="10">
        <v>1</v>
      </c>
      <c r="F511" s="12">
        <v>8754.31728</v>
      </c>
      <c r="G511" s="27">
        <f t="shared" si="9"/>
        <v>8754.31728</v>
      </c>
    </row>
    <row r="512" spans="2:7" ht="12">
      <c r="B512" s="21">
        <v>506</v>
      </c>
      <c r="C512" s="5" t="s">
        <v>1183</v>
      </c>
      <c r="D512" s="5" t="s">
        <v>766</v>
      </c>
      <c r="E512" s="10">
        <v>7E-05</v>
      </c>
      <c r="F512" s="12">
        <v>119636.86895999999</v>
      </c>
      <c r="G512" s="27">
        <f t="shared" si="9"/>
        <v>8.374580827199999</v>
      </c>
    </row>
    <row r="513" spans="2:7" ht="12">
      <c r="B513" s="21">
        <v>507</v>
      </c>
      <c r="C513" s="5" t="s">
        <v>1184</v>
      </c>
      <c r="D513" s="5" t="s">
        <v>766</v>
      </c>
      <c r="E513" s="10">
        <v>0.1159</v>
      </c>
      <c r="F513" s="12">
        <v>110848.806</v>
      </c>
      <c r="G513" s="27">
        <f t="shared" si="9"/>
        <v>12847.3766154</v>
      </c>
    </row>
    <row r="514" spans="2:7" ht="12">
      <c r="B514" s="21">
        <v>508</v>
      </c>
      <c r="C514" s="5" t="s">
        <v>1185</v>
      </c>
      <c r="D514" s="5" t="s">
        <v>766</v>
      </c>
      <c r="E514" s="10">
        <v>0.00621</v>
      </c>
      <c r="F514" s="12">
        <v>98810.83944</v>
      </c>
      <c r="G514" s="27">
        <f t="shared" si="9"/>
        <v>613.6153129224</v>
      </c>
    </row>
    <row r="515" spans="2:7" ht="12">
      <c r="B515" s="44" t="s">
        <v>750</v>
      </c>
      <c r="C515" s="45"/>
      <c r="D515" s="45"/>
      <c r="E515" s="45"/>
      <c r="F515" s="46"/>
      <c r="G515" s="28">
        <f>SUM(G97:G514)</f>
        <v>14039538.135854708</v>
      </c>
    </row>
    <row r="516" spans="2:7" ht="16.5">
      <c r="B516" s="47" t="s">
        <v>1186</v>
      </c>
      <c r="C516" s="47"/>
      <c r="D516" s="47"/>
      <c r="E516" s="47"/>
      <c r="F516" s="47"/>
      <c r="G516" s="47"/>
    </row>
    <row r="517" spans="2:7" ht="12">
      <c r="B517" s="20">
        <v>509</v>
      </c>
      <c r="C517" s="22" t="s">
        <v>1187</v>
      </c>
      <c r="D517" s="22" t="s">
        <v>753</v>
      </c>
      <c r="E517" s="23">
        <v>0.52351511</v>
      </c>
      <c r="F517" s="24">
        <v>150.552</v>
      </c>
      <c r="G517" s="26">
        <f aca="true" t="shared" si="10" ref="G517:G528">E517*F517</f>
        <v>78.81624684071998</v>
      </c>
    </row>
    <row r="518" spans="2:7" ht="12">
      <c r="B518" s="21">
        <v>510</v>
      </c>
      <c r="C518" s="5" t="s">
        <v>1188</v>
      </c>
      <c r="D518" s="5" t="s">
        <v>753</v>
      </c>
      <c r="E518" s="10">
        <v>0.01545009</v>
      </c>
      <c r="F518" s="12">
        <v>100.368</v>
      </c>
      <c r="G518" s="27">
        <f t="shared" si="10"/>
        <v>1.55069463312</v>
      </c>
    </row>
    <row r="519" spans="2:7" ht="12">
      <c r="B519" s="21">
        <v>511</v>
      </c>
      <c r="C519" s="5" t="s">
        <v>1189</v>
      </c>
      <c r="D519" s="5" t="s">
        <v>753</v>
      </c>
      <c r="E519" s="10">
        <v>0.4</v>
      </c>
      <c r="F519" s="12">
        <v>120.44160000000001</v>
      </c>
      <c r="G519" s="27">
        <f t="shared" si="10"/>
        <v>48.176640000000006</v>
      </c>
    </row>
    <row r="520" spans="2:7" ht="12">
      <c r="B520" s="21">
        <v>512</v>
      </c>
      <c r="C520" s="5" t="s">
        <v>1190</v>
      </c>
      <c r="D520" s="5" t="s">
        <v>753</v>
      </c>
      <c r="E520" s="10">
        <v>0.0501</v>
      </c>
      <c r="F520" s="12">
        <v>199.73232</v>
      </c>
      <c r="G520" s="27">
        <f t="shared" si="10"/>
        <v>10.006589232</v>
      </c>
    </row>
    <row r="521" spans="2:7" ht="12">
      <c r="B521" s="21">
        <v>513</v>
      </c>
      <c r="C521" s="5" t="s">
        <v>1191</v>
      </c>
      <c r="D521" s="5" t="s">
        <v>753</v>
      </c>
      <c r="E521" s="10">
        <v>1.24</v>
      </c>
      <c r="F521" s="12">
        <v>190.69920000000002</v>
      </c>
      <c r="G521" s="27">
        <f t="shared" si="10"/>
        <v>236.46700800000002</v>
      </c>
    </row>
    <row r="522" spans="2:7" ht="12">
      <c r="B522" s="21">
        <v>514</v>
      </c>
      <c r="C522" s="5" t="s">
        <v>1192</v>
      </c>
      <c r="D522" s="5" t="s">
        <v>753</v>
      </c>
      <c r="E522" s="10">
        <v>5.5941</v>
      </c>
      <c r="F522" s="12">
        <v>111.40848</v>
      </c>
      <c r="G522" s="27">
        <f t="shared" si="10"/>
        <v>623.230177968</v>
      </c>
    </row>
    <row r="523" spans="2:7" ht="12">
      <c r="B523" s="21">
        <v>515</v>
      </c>
      <c r="C523" s="5" t="s">
        <v>1193</v>
      </c>
      <c r="D523" s="5" t="s">
        <v>753</v>
      </c>
      <c r="E523" s="10">
        <v>3.2485</v>
      </c>
      <c r="F523" s="12">
        <v>199.73232</v>
      </c>
      <c r="G523" s="27">
        <f t="shared" si="10"/>
        <v>648.8304415199999</v>
      </c>
    </row>
    <row r="524" spans="2:7" ht="12">
      <c r="B524" s="21">
        <v>516</v>
      </c>
      <c r="C524" s="5" t="s">
        <v>1194</v>
      </c>
      <c r="D524" s="5" t="s">
        <v>753</v>
      </c>
      <c r="E524" s="10">
        <v>1.2402</v>
      </c>
      <c r="F524" s="12">
        <v>159.58512</v>
      </c>
      <c r="G524" s="27">
        <f t="shared" si="10"/>
        <v>197.91746582399998</v>
      </c>
    </row>
    <row r="525" spans="2:7" ht="12">
      <c r="B525" s="21">
        <v>517</v>
      </c>
      <c r="C525" s="5" t="s">
        <v>1195</v>
      </c>
      <c r="D525" s="5" t="s">
        <v>753</v>
      </c>
      <c r="E525" s="10">
        <v>0.00559541</v>
      </c>
      <c r="F525" s="12">
        <v>99.36432</v>
      </c>
      <c r="G525" s="27">
        <f t="shared" si="10"/>
        <v>0.5559841097712</v>
      </c>
    </row>
    <row r="526" spans="2:7" ht="12">
      <c r="B526" s="21">
        <v>518</v>
      </c>
      <c r="C526" s="5" t="s">
        <v>1196</v>
      </c>
      <c r="D526" s="5" t="s">
        <v>753</v>
      </c>
      <c r="E526" s="10">
        <v>0.0003872</v>
      </c>
      <c r="F526" s="12">
        <v>79.29072000000001</v>
      </c>
      <c r="G526" s="27">
        <f t="shared" si="10"/>
        <v>0.030701366784</v>
      </c>
    </row>
    <row r="527" spans="2:7" ht="12">
      <c r="B527" s="21">
        <v>519</v>
      </c>
      <c r="C527" s="5" t="s">
        <v>1197</v>
      </c>
      <c r="D527" s="5" t="s">
        <v>753</v>
      </c>
      <c r="E527" s="10">
        <v>0.21</v>
      </c>
      <c r="F527" s="12">
        <v>722.6496</v>
      </c>
      <c r="G527" s="27">
        <f t="shared" si="10"/>
        <v>151.75641599999997</v>
      </c>
    </row>
    <row r="528" spans="2:7" ht="12">
      <c r="B528" s="21">
        <v>520</v>
      </c>
      <c r="C528" s="5" t="s">
        <v>1198</v>
      </c>
      <c r="D528" s="5" t="s">
        <v>753</v>
      </c>
      <c r="E528" s="10">
        <v>6.50780363</v>
      </c>
      <c r="F528" s="12">
        <v>130.4784</v>
      </c>
      <c r="G528" s="27">
        <f t="shared" si="10"/>
        <v>849.1278051565919</v>
      </c>
    </row>
    <row r="529" spans="2:7" ht="12">
      <c r="B529" s="44" t="s">
        <v>750</v>
      </c>
      <c r="C529" s="45"/>
      <c r="D529" s="45"/>
      <c r="E529" s="45"/>
      <c r="F529" s="46"/>
      <c r="G529" s="28">
        <f>SUM(G517:G528)</f>
        <v>2846.466170650987</v>
      </c>
    </row>
    <row r="530" spans="2:7" ht="16.5">
      <c r="B530" s="47" t="s">
        <v>1199</v>
      </c>
      <c r="C530" s="47"/>
      <c r="D530" s="47"/>
      <c r="E530" s="47"/>
      <c r="F530" s="47"/>
      <c r="G530" s="47"/>
    </row>
    <row r="531" spans="2:7" ht="12">
      <c r="B531" s="20">
        <v>521</v>
      </c>
      <c r="C531" s="22" t="s">
        <v>1200</v>
      </c>
      <c r="D531" s="22" t="s">
        <v>1201</v>
      </c>
      <c r="E531" s="23">
        <v>0.2</v>
      </c>
      <c r="F531" s="24">
        <v>3.0732</v>
      </c>
      <c r="G531" s="26">
        <f aca="true" t="shared" si="11" ref="G531:G549">E531*F531</f>
        <v>0.6146400000000001</v>
      </c>
    </row>
    <row r="532" spans="2:7" ht="12">
      <c r="B532" s="21">
        <v>522</v>
      </c>
      <c r="C532" s="5" t="s">
        <v>1202</v>
      </c>
      <c r="D532" s="5" t="s">
        <v>1203</v>
      </c>
      <c r="E532" s="10">
        <v>186</v>
      </c>
      <c r="F532" s="12">
        <v>708.9186000000001</v>
      </c>
      <c r="G532" s="27">
        <f t="shared" si="11"/>
        <v>131858.85960000003</v>
      </c>
    </row>
    <row r="533" spans="2:7" ht="12">
      <c r="B533" s="21">
        <v>523</v>
      </c>
      <c r="C533" s="5" t="s">
        <v>1204</v>
      </c>
      <c r="D533" s="5" t="s">
        <v>1203</v>
      </c>
      <c r="E533" s="10">
        <v>0.75</v>
      </c>
      <c r="F533" s="12">
        <v>60.504599999999996</v>
      </c>
      <c r="G533" s="27">
        <f t="shared" si="11"/>
        <v>45.37845</v>
      </c>
    </row>
    <row r="534" spans="2:7" ht="12">
      <c r="B534" s="21">
        <v>524</v>
      </c>
      <c r="C534" s="5" t="s">
        <v>1205</v>
      </c>
      <c r="D534" s="5" t="s">
        <v>1203</v>
      </c>
      <c r="E534" s="10">
        <v>5.95</v>
      </c>
      <c r="F534" s="12">
        <v>5.670599999999999</v>
      </c>
      <c r="G534" s="27">
        <f t="shared" si="11"/>
        <v>33.740069999999996</v>
      </c>
    </row>
    <row r="535" spans="2:7" ht="12">
      <c r="B535" s="21">
        <v>525</v>
      </c>
      <c r="C535" s="5" t="s">
        <v>1206</v>
      </c>
      <c r="D535" s="5" t="s">
        <v>1203</v>
      </c>
      <c r="E535" s="10">
        <v>3.42</v>
      </c>
      <c r="F535" s="12">
        <v>505.68179999999995</v>
      </c>
      <c r="G535" s="27">
        <f t="shared" si="11"/>
        <v>1729.4317559999997</v>
      </c>
    </row>
    <row r="536" spans="2:7" ht="24">
      <c r="B536" s="21">
        <v>526</v>
      </c>
      <c r="C536" s="5" t="s">
        <v>1207</v>
      </c>
      <c r="D536" s="5" t="s">
        <v>1203</v>
      </c>
      <c r="E536" s="10">
        <v>21.25</v>
      </c>
      <c r="F536" s="12">
        <v>527.6466</v>
      </c>
      <c r="G536" s="27">
        <f t="shared" si="11"/>
        <v>11212.49025</v>
      </c>
    </row>
    <row r="537" spans="2:7" ht="24">
      <c r="B537" s="21">
        <v>527</v>
      </c>
      <c r="C537" s="5" t="s">
        <v>1208</v>
      </c>
      <c r="D537" s="5" t="s">
        <v>1203</v>
      </c>
      <c r="E537" s="10">
        <v>1.49</v>
      </c>
      <c r="F537" s="12">
        <v>85.3944</v>
      </c>
      <c r="G537" s="27">
        <f t="shared" si="11"/>
        <v>127.237656</v>
      </c>
    </row>
    <row r="538" spans="2:7" ht="24">
      <c r="B538" s="21">
        <v>528</v>
      </c>
      <c r="C538" s="5" t="s">
        <v>1209</v>
      </c>
      <c r="D538" s="5" t="s">
        <v>1203</v>
      </c>
      <c r="E538" s="10">
        <v>0.29</v>
      </c>
      <c r="F538" s="12">
        <v>713.3256</v>
      </c>
      <c r="G538" s="27">
        <f t="shared" si="11"/>
        <v>206.86442399999999</v>
      </c>
    </row>
    <row r="539" spans="2:7" ht="12">
      <c r="B539" s="21">
        <v>529</v>
      </c>
      <c r="C539" s="5" t="s">
        <v>1210</v>
      </c>
      <c r="D539" s="5" t="s">
        <v>1201</v>
      </c>
      <c r="E539" s="10">
        <v>4.48</v>
      </c>
      <c r="F539" s="12">
        <v>4.3836</v>
      </c>
      <c r="G539" s="27">
        <f t="shared" si="11"/>
        <v>19.638528000000004</v>
      </c>
    </row>
    <row r="540" spans="2:7" ht="12">
      <c r="B540" s="21">
        <v>530</v>
      </c>
      <c r="C540" s="5" t="s">
        <v>1211</v>
      </c>
      <c r="D540" s="5" t="s">
        <v>1203</v>
      </c>
      <c r="E540" s="10">
        <v>218.69</v>
      </c>
      <c r="F540" s="12">
        <v>131.88240000000002</v>
      </c>
      <c r="G540" s="27">
        <f t="shared" si="11"/>
        <v>28841.362056000005</v>
      </c>
    </row>
    <row r="541" spans="2:7" ht="12">
      <c r="B541" s="21">
        <v>531</v>
      </c>
      <c r="C541" s="5" t="s">
        <v>1212</v>
      </c>
      <c r="D541" s="5" t="s">
        <v>1203</v>
      </c>
      <c r="E541" s="10">
        <v>0.02</v>
      </c>
      <c r="F541" s="12">
        <v>13.65</v>
      </c>
      <c r="G541" s="27">
        <f t="shared" si="11"/>
        <v>0.273</v>
      </c>
    </row>
    <row r="542" spans="2:7" ht="24">
      <c r="B542" s="21">
        <v>532</v>
      </c>
      <c r="C542" s="5" t="s">
        <v>1213</v>
      </c>
      <c r="D542" s="5" t="s">
        <v>1201</v>
      </c>
      <c r="E542" s="10">
        <v>32.543</v>
      </c>
      <c r="F542" s="12">
        <v>3.8766</v>
      </c>
      <c r="G542" s="27">
        <f t="shared" si="11"/>
        <v>126.1561938</v>
      </c>
    </row>
    <row r="543" spans="2:7" ht="12">
      <c r="B543" s="21">
        <v>533</v>
      </c>
      <c r="C543" s="5" t="s">
        <v>1214</v>
      </c>
      <c r="D543" s="5" t="s">
        <v>1201</v>
      </c>
      <c r="E543" s="10">
        <v>2.54</v>
      </c>
      <c r="F543" s="12">
        <v>302.874</v>
      </c>
      <c r="G543" s="27">
        <f t="shared" si="11"/>
        <v>769.29996</v>
      </c>
    </row>
    <row r="544" spans="2:7" ht="12">
      <c r="B544" s="21">
        <v>534</v>
      </c>
      <c r="C544" s="5" t="s">
        <v>1215</v>
      </c>
      <c r="D544" s="5" t="s">
        <v>1203</v>
      </c>
      <c r="E544" s="10">
        <v>3.2</v>
      </c>
      <c r="F544" s="12">
        <v>7.581600000000001</v>
      </c>
      <c r="G544" s="27">
        <f t="shared" si="11"/>
        <v>24.261120000000005</v>
      </c>
    </row>
    <row r="545" spans="2:7" ht="12">
      <c r="B545" s="21">
        <v>535</v>
      </c>
      <c r="C545" s="5" t="s">
        <v>1216</v>
      </c>
      <c r="D545" s="5" t="s">
        <v>1201</v>
      </c>
      <c r="E545" s="10">
        <v>51</v>
      </c>
      <c r="F545" s="12">
        <v>14.4144</v>
      </c>
      <c r="G545" s="27">
        <f t="shared" si="11"/>
        <v>735.1344</v>
      </c>
    </row>
    <row r="546" spans="2:7" ht="12">
      <c r="B546" s="21">
        <v>536</v>
      </c>
      <c r="C546" s="5" t="s">
        <v>1217</v>
      </c>
      <c r="D546" s="5" t="s">
        <v>1201</v>
      </c>
      <c r="E546" s="10">
        <v>0.03</v>
      </c>
      <c r="F546" s="12">
        <v>248.18040000000002</v>
      </c>
      <c r="G546" s="27">
        <f t="shared" si="11"/>
        <v>7.445412</v>
      </c>
    </row>
    <row r="547" spans="2:7" ht="24">
      <c r="B547" s="21">
        <v>537</v>
      </c>
      <c r="C547" s="5" t="s">
        <v>1218</v>
      </c>
      <c r="D547" s="5" t="s">
        <v>1203</v>
      </c>
      <c r="E547" s="10">
        <v>1.5</v>
      </c>
      <c r="F547" s="12">
        <v>72.54780000000001</v>
      </c>
      <c r="G547" s="27">
        <f t="shared" si="11"/>
        <v>108.82170000000002</v>
      </c>
    </row>
    <row r="548" spans="2:7" ht="12">
      <c r="B548" s="21">
        <v>538</v>
      </c>
      <c r="C548" s="5" t="s">
        <v>1219</v>
      </c>
      <c r="D548" s="5" t="s">
        <v>1201</v>
      </c>
      <c r="E548" s="10">
        <v>0.26</v>
      </c>
      <c r="F548" s="12">
        <v>28.212600000000002</v>
      </c>
      <c r="G548" s="27">
        <f t="shared" si="11"/>
        <v>7.335276</v>
      </c>
    </row>
    <row r="549" spans="2:7" ht="12">
      <c r="B549" s="21">
        <v>539</v>
      </c>
      <c r="C549" s="5" t="s">
        <v>1220</v>
      </c>
      <c r="D549" s="5" t="s">
        <v>1203</v>
      </c>
      <c r="E549" s="10">
        <v>3.28</v>
      </c>
      <c r="F549" s="12">
        <v>7.449000000000001</v>
      </c>
      <c r="G549" s="27">
        <f t="shared" si="11"/>
        <v>24.43272</v>
      </c>
    </row>
    <row r="550" spans="2:7" ht="12">
      <c r="B550" s="44" t="s">
        <v>750</v>
      </c>
      <c r="C550" s="45"/>
      <c r="D550" s="45"/>
      <c r="E550" s="45"/>
      <c r="F550" s="46"/>
      <c r="G550" s="28">
        <f>SUM(G531:G549)</f>
        <v>175878.7772118001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29:F529"/>
    <mergeCell ref="B530:G530"/>
    <mergeCell ref="B550:F550"/>
    <mergeCell ref="B1:G1"/>
    <mergeCell ref="B4:G4"/>
    <mergeCell ref="B95:F95"/>
    <mergeCell ref="B96:G96"/>
    <mergeCell ref="B515:F515"/>
    <mergeCell ref="B516:G516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Пользователь</cp:lastModifiedBy>
  <cp:lastPrinted>2019-03-19T05:42:54Z</cp:lastPrinted>
  <dcterms:created xsi:type="dcterms:W3CDTF">2019-03-19T08:19:11Z</dcterms:created>
  <dcterms:modified xsi:type="dcterms:W3CDTF">2019-03-19T05:47:11Z</dcterms:modified>
  <cp:category>ÑÐ¼ÐµÑ‚Ð°</cp:category>
  <cp:version/>
  <cp:contentType/>
  <cp:contentStatus/>
</cp:coreProperties>
</file>