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240" yWindow="525" windowWidth="28455" windowHeight="11700"/>
  </bookViews>
  <sheets>
    <sheet name="Смета" sheetId="1" r:id="rId1"/>
  </sheets>
  <definedNames>
    <definedName name="_xlnm.Print_Titles" localSheetId="0">Смета!$3:$3</definedName>
  </definedNames>
  <calcPr calcId="124519"/>
</workbook>
</file>

<file path=xl/calcChain.xml><?xml version="1.0" encoding="utf-8"?>
<calcChain xmlns="http://schemas.openxmlformats.org/spreadsheetml/2006/main">
  <c r="K4" i="1"/>
  <c r="K469"/>
  <c r="J469"/>
  <c r="I469"/>
  <c r="H469"/>
  <c r="G469"/>
  <c r="K468"/>
  <c r="J468"/>
  <c r="I468"/>
  <c r="H468"/>
  <c r="G468"/>
  <c r="K467"/>
  <c r="J467"/>
  <c r="I467"/>
  <c r="H467"/>
  <c r="G467"/>
  <c r="K466"/>
  <c r="J466"/>
  <c r="I466"/>
  <c r="H466"/>
  <c r="G466"/>
  <c r="K465"/>
  <c r="J465"/>
  <c r="I465"/>
  <c r="H465"/>
  <c r="G465"/>
  <c r="K464"/>
  <c r="J464"/>
  <c r="I464"/>
  <c r="H464"/>
  <c r="G464"/>
  <c r="K463"/>
  <c r="J463"/>
  <c r="I463"/>
  <c r="H463"/>
  <c r="G463"/>
  <c r="K462"/>
  <c r="J462"/>
  <c r="I462"/>
  <c r="H462"/>
  <c r="G462"/>
  <c r="K461"/>
  <c r="J461"/>
  <c r="I461"/>
  <c r="H461"/>
  <c r="G461"/>
  <c r="K460"/>
  <c r="J460"/>
  <c r="I460"/>
  <c r="H460"/>
  <c r="G460"/>
  <c r="K459"/>
  <c r="J459"/>
  <c r="I459"/>
  <c r="H459"/>
  <c r="G459"/>
  <c r="K458"/>
  <c r="J458"/>
  <c r="I458"/>
  <c r="H458"/>
  <c r="G458"/>
  <c r="K457"/>
  <c r="J457"/>
  <c r="I457"/>
  <c r="H457"/>
  <c r="G457"/>
  <c r="K456"/>
  <c r="J456"/>
  <c r="I456"/>
  <c r="H456"/>
  <c r="G456"/>
  <c r="K455"/>
  <c r="J455"/>
  <c r="I455"/>
  <c r="H455"/>
  <c r="G455"/>
  <c r="K454"/>
  <c r="J454"/>
  <c r="I454"/>
  <c r="H454"/>
  <c r="G454"/>
  <c r="K453"/>
  <c r="J453"/>
  <c r="I453"/>
  <c r="H453"/>
  <c r="G453"/>
  <c r="K452"/>
  <c r="J452"/>
  <c r="I452"/>
  <c r="H452"/>
  <c r="G452"/>
  <c r="K451"/>
  <c r="J451"/>
  <c r="I451"/>
  <c r="H451"/>
  <c r="G451"/>
  <c r="K450"/>
  <c r="J450"/>
  <c r="I450"/>
  <c r="H450"/>
  <c r="G450"/>
  <c r="K449"/>
  <c r="J449"/>
  <c r="I449"/>
  <c r="H449"/>
  <c r="G449"/>
  <c r="K448"/>
  <c r="J448"/>
  <c r="I448"/>
  <c r="H448"/>
  <c r="G448"/>
  <c r="K447"/>
  <c r="J447"/>
  <c r="I447"/>
  <c r="H447"/>
  <c r="G447"/>
  <c r="K446"/>
  <c r="J446"/>
  <c r="I446"/>
  <c r="H446"/>
  <c r="G446"/>
  <c r="K445"/>
  <c r="J445"/>
  <c r="I445"/>
  <c r="H445"/>
  <c r="G445"/>
  <c r="K444"/>
  <c r="J444"/>
  <c r="I444"/>
  <c r="H444"/>
  <c r="G444"/>
  <c r="K443"/>
  <c r="J443"/>
  <c r="I443"/>
  <c r="H443"/>
  <c r="G443"/>
  <c r="K442"/>
  <c r="J442"/>
  <c r="I442"/>
  <c r="H442"/>
  <c r="G442"/>
  <c r="K441"/>
  <c r="J441"/>
  <c r="I441"/>
  <c r="H441"/>
  <c r="G441"/>
  <c r="K440"/>
  <c r="J440"/>
  <c r="I440"/>
  <c r="H440"/>
  <c r="G440"/>
  <c r="K439"/>
  <c r="J439"/>
  <c r="I439"/>
  <c r="H439"/>
  <c r="G439"/>
  <c r="K438"/>
  <c r="J438"/>
  <c r="I438"/>
  <c r="H438"/>
  <c r="G438"/>
  <c r="K437"/>
  <c r="J437"/>
  <c r="I437"/>
  <c r="H437"/>
  <c r="G437"/>
  <c r="K436"/>
  <c r="J436"/>
  <c r="I436"/>
  <c r="H436"/>
  <c r="G436"/>
  <c r="K435"/>
  <c r="J435"/>
  <c r="I435"/>
  <c r="H435"/>
  <c r="G435"/>
  <c r="K434"/>
  <c r="J434"/>
  <c r="I434"/>
  <c r="H434"/>
  <c r="G434"/>
  <c r="K433"/>
  <c r="J433"/>
  <c r="I433"/>
  <c r="H433"/>
  <c r="G433"/>
  <c r="K432"/>
  <c r="J432"/>
  <c r="I432"/>
  <c r="H432"/>
  <c r="G432"/>
  <c r="K431"/>
  <c r="J431"/>
  <c r="I431"/>
  <c r="H431"/>
  <c r="G431"/>
  <c r="K430"/>
  <c r="J430"/>
  <c r="I430"/>
  <c r="H430"/>
  <c r="G430"/>
  <c r="K429"/>
  <c r="J429"/>
  <c r="I429"/>
  <c r="H429"/>
  <c r="G429"/>
  <c r="K428"/>
  <c r="J428"/>
  <c r="I428"/>
  <c r="H428"/>
  <c r="G428"/>
  <c r="K427"/>
  <c r="J427"/>
  <c r="I427"/>
  <c r="H427"/>
  <c r="G427"/>
  <c r="K426"/>
  <c r="J426"/>
  <c r="I426"/>
  <c r="H426"/>
  <c r="G426"/>
  <c r="K425"/>
  <c r="J425"/>
  <c r="I425"/>
  <c r="H425"/>
  <c r="G425"/>
  <c r="K424"/>
  <c r="J424"/>
  <c r="I424"/>
  <c r="H424"/>
  <c r="G424"/>
  <c r="K423"/>
  <c r="J423"/>
  <c r="I423"/>
  <c r="H423"/>
  <c r="G423"/>
  <c r="K422"/>
  <c r="J422"/>
  <c r="I422"/>
  <c r="H422"/>
  <c r="G422"/>
  <c r="K421"/>
  <c r="J421"/>
  <c r="I421"/>
  <c r="H421"/>
  <c r="G421"/>
  <c r="K420"/>
  <c r="J420"/>
  <c r="I420"/>
  <c r="H420"/>
  <c r="G420"/>
  <c r="K419"/>
  <c r="J419"/>
  <c r="I419"/>
  <c r="H419"/>
  <c r="G419"/>
  <c r="K418"/>
  <c r="J418"/>
  <c r="I418"/>
  <c r="H418"/>
  <c r="G418"/>
  <c r="K417"/>
  <c r="J417"/>
  <c r="I417"/>
  <c r="H417"/>
  <c r="G417"/>
  <c r="K416"/>
  <c r="J416"/>
  <c r="I416"/>
  <c r="H416"/>
  <c r="G416"/>
  <c r="K415"/>
  <c r="J415"/>
  <c r="I415"/>
  <c r="H415"/>
  <c r="G415"/>
  <c r="K414"/>
  <c r="J414"/>
  <c r="I414"/>
  <c r="H414"/>
  <c r="G414"/>
  <c r="K413"/>
  <c r="J413"/>
  <c r="I413"/>
  <c r="H413"/>
  <c r="G413"/>
  <c r="K412"/>
  <c r="J412"/>
  <c r="I412"/>
  <c r="H412"/>
  <c r="G412"/>
  <c r="K411"/>
  <c r="J411"/>
  <c r="I411"/>
  <c r="H411"/>
  <c r="G411"/>
  <c r="K410"/>
  <c r="J410"/>
  <c r="I410"/>
  <c r="H410"/>
  <c r="G410"/>
  <c r="K409"/>
  <c r="J409"/>
  <c r="I409"/>
  <c r="H409"/>
  <c r="G409"/>
  <c r="K408"/>
  <c r="J408"/>
  <c r="I408"/>
  <c r="H408"/>
  <c r="G408"/>
  <c r="K407"/>
  <c r="J407"/>
  <c r="I407"/>
  <c r="H407"/>
  <c r="G407"/>
  <c r="K406"/>
  <c r="J406"/>
  <c r="I406"/>
  <c r="H406"/>
  <c r="G406"/>
  <c r="K405"/>
  <c r="J405"/>
  <c r="I405"/>
  <c r="H405"/>
  <c r="G405"/>
  <c r="K404"/>
  <c r="J404"/>
  <c r="I404"/>
  <c r="H404"/>
  <c r="G404"/>
  <c r="K403"/>
  <c r="J403"/>
  <c r="I403"/>
  <c r="H403"/>
  <c r="G403"/>
  <c r="K402"/>
  <c r="J402"/>
  <c r="I402"/>
  <c r="H402"/>
  <c r="G402"/>
  <c r="K401"/>
  <c r="J401"/>
  <c r="I401"/>
  <c r="H401"/>
  <c r="G401"/>
  <c r="K400"/>
  <c r="J400"/>
  <c r="I400"/>
  <c r="H400"/>
  <c r="G400"/>
  <c r="K399"/>
  <c r="J399"/>
  <c r="I399"/>
  <c r="H399"/>
  <c r="G399"/>
  <c r="K398"/>
  <c r="J398"/>
  <c r="I398"/>
  <c r="H398"/>
  <c r="G398"/>
  <c r="K397"/>
  <c r="J397"/>
  <c r="I397"/>
  <c r="H397"/>
  <c r="G397"/>
  <c r="K396"/>
  <c r="J396"/>
  <c r="I396"/>
  <c r="H396"/>
  <c r="G396"/>
  <c r="K395"/>
  <c r="J395"/>
  <c r="I395"/>
  <c r="H395"/>
  <c r="G395"/>
  <c r="K394"/>
  <c r="J394"/>
  <c r="I394"/>
  <c r="H394"/>
  <c r="G394"/>
  <c r="K393"/>
  <c r="J393"/>
  <c r="I393"/>
  <c r="H393"/>
  <c r="G393"/>
  <c r="K392"/>
  <c r="J392"/>
  <c r="I392"/>
  <c r="H392"/>
  <c r="G392"/>
  <c r="K391"/>
  <c r="J391"/>
  <c r="I391"/>
  <c r="H391"/>
  <c r="G391"/>
  <c r="K390"/>
  <c r="J390"/>
  <c r="I390"/>
  <c r="H390"/>
  <c r="G390"/>
  <c r="K389"/>
  <c r="J389"/>
  <c r="I389"/>
  <c r="H389"/>
  <c r="G389"/>
  <c r="K388"/>
  <c r="J388"/>
  <c r="I388"/>
  <c r="H388"/>
  <c r="G388"/>
  <c r="K387"/>
  <c r="J387"/>
  <c r="I387"/>
  <c r="H387"/>
  <c r="G387"/>
  <c r="K386"/>
  <c r="J386"/>
  <c r="I386"/>
  <c r="H386"/>
  <c r="G386"/>
  <c r="K385"/>
  <c r="J385"/>
  <c r="I385"/>
  <c r="H385"/>
  <c r="G385"/>
  <c r="K384"/>
  <c r="J384"/>
  <c r="I384"/>
  <c r="H384"/>
  <c r="G384"/>
  <c r="K383"/>
  <c r="J383"/>
  <c r="I383"/>
  <c r="H383"/>
  <c r="G383"/>
  <c r="K382"/>
  <c r="J382"/>
  <c r="I382"/>
  <c r="H382"/>
  <c r="G382"/>
  <c r="K381"/>
  <c r="J381"/>
  <c r="I381"/>
  <c r="H381"/>
  <c r="G381"/>
  <c r="K380"/>
  <c r="J380"/>
  <c r="I380"/>
  <c r="H380"/>
  <c r="G380"/>
  <c r="K379"/>
  <c r="J379"/>
  <c r="I379"/>
  <c r="H379"/>
  <c r="G379"/>
  <c r="K378"/>
  <c r="J378"/>
  <c r="I378"/>
  <c r="H378"/>
  <c r="G378"/>
  <c r="K377"/>
  <c r="J377"/>
  <c r="I377"/>
  <c r="H377"/>
  <c r="G377"/>
  <c r="K376"/>
  <c r="J376"/>
  <c r="I376"/>
  <c r="H376"/>
  <c r="G376"/>
  <c r="K375"/>
  <c r="J375"/>
  <c r="I375"/>
  <c r="H375"/>
  <c r="G375"/>
  <c r="K374"/>
  <c r="J374"/>
  <c r="I374"/>
  <c r="H374"/>
  <c r="G374"/>
  <c r="K373"/>
  <c r="J373"/>
  <c r="I373"/>
  <c r="H373"/>
  <c r="G373"/>
  <c r="K372"/>
  <c r="J372"/>
  <c r="I372"/>
  <c r="H372"/>
  <c r="G372"/>
  <c r="K371"/>
  <c r="J371"/>
  <c r="I371"/>
  <c r="H371"/>
  <c r="G371"/>
  <c r="K370"/>
  <c r="J370"/>
  <c r="I370"/>
  <c r="H370"/>
  <c r="G370"/>
  <c r="K369"/>
  <c r="J369"/>
  <c r="I369"/>
  <c r="H369"/>
  <c r="G369"/>
  <c r="K368"/>
  <c r="J368"/>
  <c r="I368"/>
  <c r="H368"/>
  <c r="G368"/>
  <c r="K367"/>
  <c r="J367"/>
  <c r="I367"/>
  <c r="H367"/>
  <c r="G367"/>
  <c r="K366"/>
  <c r="J366"/>
  <c r="I366"/>
  <c r="H366"/>
  <c r="G366"/>
  <c r="K365"/>
  <c r="J365"/>
  <c r="I365"/>
  <c r="H365"/>
  <c r="G365"/>
  <c r="K364"/>
  <c r="J364"/>
  <c r="I364"/>
  <c r="H364"/>
  <c r="G364"/>
  <c r="K363"/>
  <c r="J363"/>
  <c r="I363"/>
  <c r="H363"/>
  <c r="G363"/>
  <c r="K362"/>
  <c r="J362"/>
  <c r="I362"/>
  <c r="H362"/>
  <c r="G362"/>
  <c r="K361"/>
  <c r="J361"/>
  <c r="I361"/>
  <c r="H361"/>
  <c r="G361"/>
  <c r="K360"/>
  <c r="J360"/>
  <c r="I360"/>
  <c r="H360"/>
  <c r="G360"/>
  <c r="M360" s="1"/>
  <c r="L360" s="1"/>
  <c r="K359"/>
  <c r="J359"/>
  <c r="I359"/>
  <c r="H359"/>
  <c r="G359"/>
  <c r="K358"/>
  <c r="J358"/>
  <c r="I358"/>
  <c r="H358"/>
  <c r="G358"/>
  <c r="M358" s="1"/>
  <c r="L358" s="1"/>
  <c r="K357"/>
  <c r="J357"/>
  <c r="I357"/>
  <c r="H357"/>
  <c r="G357"/>
  <c r="K356"/>
  <c r="J356"/>
  <c r="I356"/>
  <c r="H356"/>
  <c r="G356"/>
  <c r="M356" s="1"/>
  <c r="L356" s="1"/>
  <c r="K355"/>
  <c r="J355"/>
  <c r="I355"/>
  <c r="H355"/>
  <c r="G355"/>
  <c r="K354"/>
  <c r="J354"/>
  <c r="I354"/>
  <c r="H354"/>
  <c r="G354"/>
  <c r="M354" s="1"/>
  <c r="L354" s="1"/>
  <c r="K353"/>
  <c r="J353"/>
  <c r="I353"/>
  <c r="H353"/>
  <c r="G353"/>
  <c r="K352"/>
  <c r="J352"/>
  <c r="I352"/>
  <c r="H352"/>
  <c r="G352"/>
  <c r="K351"/>
  <c r="J351"/>
  <c r="I351"/>
  <c r="H351"/>
  <c r="G351"/>
  <c r="K350"/>
  <c r="J350"/>
  <c r="I350"/>
  <c r="H350"/>
  <c r="G350"/>
  <c r="K349"/>
  <c r="J349"/>
  <c r="I349"/>
  <c r="H349"/>
  <c r="G349"/>
  <c r="K348"/>
  <c r="J348"/>
  <c r="I348"/>
  <c r="H348"/>
  <c r="G348"/>
  <c r="K347"/>
  <c r="J347"/>
  <c r="I347"/>
  <c r="H347"/>
  <c r="G347"/>
  <c r="K346"/>
  <c r="J346"/>
  <c r="I346"/>
  <c r="H346"/>
  <c r="G346"/>
  <c r="K345"/>
  <c r="J345"/>
  <c r="I345"/>
  <c r="H345"/>
  <c r="G345"/>
  <c r="K344"/>
  <c r="J344"/>
  <c r="I344"/>
  <c r="H344"/>
  <c r="G344"/>
  <c r="K343"/>
  <c r="J343"/>
  <c r="I343"/>
  <c r="H343"/>
  <c r="G343"/>
  <c r="K342"/>
  <c r="J342"/>
  <c r="I342"/>
  <c r="H342"/>
  <c r="G342"/>
  <c r="K341"/>
  <c r="J341"/>
  <c r="I341"/>
  <c r="H341"/>
  <c r="G341"/>
  <c r="K340"/>
  <c r="J340"/>
  <c r="I340"/>
  <c r="H340"/>
  <c r="G340"/>
  <c r="K339"/>
  <c r="J339"/>
  <c r="I339"/>
  <c r="H339"/>
  <c r="G339"/>
  <c r="K338"/>
  <c r="J338"/>
  <c r="I338"/>
  <c r="H338"/>
  <c r="G338"/>
  <c r="M338" s="1"/>
  <c r="L338" s="1"/>
  <c r="K337"/>
  <c r="J337"/>
  <c r="I337"/>
  <c r="H337"/>
  <c r="G337"/>
  <c r="K336"/>
  <c r="J336"/>
  <c r="I336"/>
  <c r="H336"/>
  <c r="G336"/>
  <c r="K335"/>
  <c r="J335"/>
  <c r="I335"/>
  <c r="H335"/>
  <c r="G335"/>
  <c r="K334"/>
  <c r="J334"/>
  <c r="I334"/>
  <c r="H334"/>
  <c r="G334"/>
  <c r="K333"/>
  <c r="J333"/>
  <c r="I333"/>
  <c r="H333"/>
  <c r="G333"/>
  <c r="K332"/>
  <c r="J332"/>
  <c r="I332"/>
  <c r="H332"/>
  <c r="G332"/>
  <c r="K331"/>
  <c r="J331"/>
  <c r="I331"/>
  <c r="H331"/>
  <c r="G331"/>
  <c r="K330"/>
  <c r="J330"/>
  <c r="I330"/>
  <c r="H330"/>
  <c r="G330"/>
  <c r="K329"/>
  <c r="J329"/>
  <c r="I329"/>
  <c r="H329"/>
  <c r="G329"/>
  <c r="K328"/>
  <c r="J328"/>
  <c r="I328"/>
  <c r="H328"/>
  <c r="G328"/>
  <c r="K327"/>
  <c r="J327"/>
  <c r="I327"/>
  <c r="H327"/>
  <c r="G327"/>
  <c r="K326"/>
  <c r="J326"/>
  <c r="I326"/>
  <c r="H326"/>
  <c r="G326"/>
  <c r="K325"/>
  <c r="J325"/>
  <c r="I325"/>
  <c r="H325"/>
  <c r="G325"/>
  <c r="K324"/>
  <c r="J324"/>
  <c r="I324"/>
  <c r="H324"/>
  <c r="G324"/>
  <c r="K323"/>
  <c r="J323"/>
  <c r="I323"/>
  <c r="H323"/>
  <c r="G323"/>
  <c r="K322"/>
  <c r="J322"/>
  <c r="I322"/>
  <c r="H322"/>
  <c r="G322"/>
  <c r="M322" s="1"/>
  <c r="L322" s="1"/>
  <c r="K321"/>
  <c r="J321"/>
  <c r="I321"/>
  <c r="H321"/>
  <c r="G321"/>
  <c r="K320"/>
  <c r="J320"/>
  <c r="I320"/>
  <c r="H320"/>
  <c r="G320"/>
  <c r="M320" s="1"/>
  <c r="L320" s="1"/>
  <c r="K319"/>
  <c r="J319"/>
  <c r="I319"/>
  <c r="H319"/>
  <c r="G319"/>
  <c r="K318"/>
  <c r="J318"/>
  <c r="I318"/>
  <c r="H318"/>
  <c r="G318"/>
  <c r="M318" s="1"/>
  <c r="L318" s="1"/>
  <c r="K317"/>
  <c r="J317"/>
  <c r="I317"/>
  <c r="H317"/>
  <c r="G317"/>
  <c r="K316"/>
  <c r="J316"/>
  <c r="I316"/>
  <c r="H316"/>
  <c r="G316"/>
  <c r="M316" s="1"/>
  <c r="L316" s="1"/>
  <c r="K315"/>
  <c r="J315"/>
  <c r="I315"/>
  <c r="H315"/>
  <c r="G315"/>
  <c r="K314"/>
  <c r="J314"/>
  <c r="I314"/>
  <c r="H314"/>
  <c r="G314"/>
  <c r="M314" s="1"/>
  <c r="L314" s="1"/>
  <c r="K313"/>
  <c r="J313"/>
  <c r="I313"/>
  <c r="H313"/>
  <c r="G313"/>
  <c r="K312"/>
  <c r="J312"/>
  <c r="I312"/>
  <c r="H312"/>
  <c r="G312"/>
  <c r="M312" s="1"/>
  <c r="L312" s="1"/>
  <c r="K311"/>
  <c r="J311"/>
  <c r="I311"/>
  <c r="H311"/>
  <c r="G311"/>
  <c r="K310"/>
  <c r="J310"/>
  <c r="I310"/>
  <c r="H310"/>
  <c r="G310"/>
  <c r="M310" s="1"/>
  <c r="L310" s="1"/>
  <c r="K309"/>
  <c r="J309"/>
  <c r="I309"/>
  <c r="H309"/>
  <c r="G309"/>
  <c r="K308"/>
  <c r="J308"/>
  <c r="I308"/>
  <c r="H308"/>
  <c r="G308"/>
  <c r="M308" s="1"/>
  <c r="L308" s="1"/>
  <c r="K307"/>
  <c r="J307"/>
  <c r="I307"/>
  <c r="H307"/>
  <c r="G307"/>
  <c r="K306"/>
  <c r="J306"/>
  <c r="I306"/>
  <c r="H306"/>
  <c r="G306"/>
  <c r="M306" s="1"/>
  <c r="L306" s="1"/>
  <c r="K305"/>
  <c r="J305"/>
  <c r="I305"/>
  <c r="H305"/>
  <c r="G305"/>
  <c r="K304"/>
  <c r="J304"/>
  <c r="I304"/>
  <c r="H304"/>
  <c r="G304"/>
  <c r="M304" s="1"/>
  <c r="L304" s="1"/>
  <c r="K303"/>
  <c r="J303"/>
  <c r="I303"/>
  <c r="H303"/>
  <c r="G303"/>
  <c r="K302"/>
  <c r="J302"/>
  <c r="I302"/>
  <c r="H302"/>
  <c r="G302"/>
  <c r="M302" s="1"/>
  <c r="L302" s="1"/>
  <c r="K301"/>
  <c r="J301"/>
  <c r="I301"/>
  <c r="H301"/>
  <c r="G301"/>
  <c r="K300"/>
  <c r="J300"/>
  <c r="I300"/>
  <c r="H300"/>
  <c r="G300"/>
  <c r="M300" s="1"/>
  <c r="L300" s="1"/>
  <c r="K299"/>
  <c r="J299"/>
  <c r="I299"/>
  <c r="H299"/>
  <c r="G299"/>
  <c r="K298"/>
  <c r="J298"/>
  <c r="I298"/>
  <c r="H298"/>
  <c r="G298"/>
  <c r="M298" s="1"/>
  <c r="L298" s="1"/>
  <c r="K297"/>
  <c r="J297"/>
  <c r="I297"/>
  <c r="H297"/>
  <c r="G297"/>
  <c r="K296"/>
  <c r="J296"/>
  <c r="I296"/>
  <c r="H296"/>
  <c r="G296"/>
  <c r="M296" s="1"/>
  <c r="L296" s="1"/>
  <c r="K295"/>
  <c r="J295"/>
  <c r="I295"/>
  <c r="H295"/>
  <c r="G295"/>
  <c r="K294"/>
  <c r="J294"/>
  <c r="I294"/>
  <c r="H294"/>
  <c r="G294"/>
  <c r="M294" s="1"/>
  <c r="L294" s="1"/>
  <c r="K293"/>
  <c r="J293"/>
  <c r="I293"/>
  <c r="H293"/>
  <c r="G293"/>
  <c r="K292"/>
  <c r="J292"/>
  <c r="I292"/>
  <c r="H292"/>
  <c r="G292"/>
  <c r="M292" s="1"/>
  <c r="L292" s="1"/>
  <c r="K291"/>
  <c r="J291"/>
  <c r="I291"/>
  <c r="H291"/>
  <c r="G291"/>
  <c r="K290"/>
  <c r="J290"/>
  <c r="I290"/>
  <c r="H290"/>
  <c r="G290"/>
  <c r="M290" s="1"/>
  <c r="L290" s="1"/>
  <c r="K289"/>
  <c r="J289"/>
  <c r="I289"/>
  <c r="H289"/>
  <c r="G289"/>
  <c r="K288"/>
  <c r="J288"/>
  <c r="I288"/>
  <c r="H288"/>
  <c r="G288"/>
  <c r="K287"/>
  <c r="J287"/>
  <c r="I287"/>
  <c r="H287"/>
  <c r="G287"/>
  <c r="K286"/>
  <c r="J286"/>
  <c r="I286"/>
  <c r="H286"/>
  <c r="G286"/>
  <c r="M286" s="1"/>
  <c r="L286" s="1"/>
  <c r="K285"/>
  <c r="J285"/>
  <c r="I285"/>
  <c r="H285"/>
  <c r="G285"/>
  <c r="K284"/>
  <c r="J284"/>
  <c r="I284"/>
  <c r="H284"/>
  <c r="G284"/>
  <c r="M284" s="1"/>
  <c r="L284" s="1"/>
  <c r="K283"/>
  <c r="J283"/>
  <c r="I283"/>
  <c r="H283"/>
  <c r="G283"/>
  <c r="K282"/>
  <c r="J282"/>
  <c r="I282"/>
  <c r="H282"/>
  <c r="G282"/>
  <c r="M282" s="1"/>
  <c r="L282" s="1"/>
  <c r="K281"/>
  <c r="J281"/>
  <c r="I281"/>
  <c r="H281"/>
  <c r="G281"/>
  <c r="K280"/>
  <c r="J280"/>
  <c r="I280"/>
  <c r="H280"/>
  <c r="G280"/>
  <c r="M280" s="1"/>
  <c r="L280" s="1"/>
  <c r="K279"/>
  <c r="J279"/>
  <c r="I279"/>
  <c r="H279"/>
  <c r="G279"/>
  <c r="K278"/>
  <c r="J278"/>
  <c r="I278"/>
  <c r="H278"/>
  <c r="G278"/>
  <c r="K277"/>
  <c r="J277"/>
  <c r="I277"/>
  <c r="H277"/>
  <c r="G277"/>
  <c r="K276"/>
  <c r="J276"/>
  <c r="I276"/>
  <c r="H276"/>
  <c r="G276"/>
  <c r="M276" s="1"/>
  <c r="L276" s="1"/>
  <c r="K275"/>
  <c r="J275"/>
  <c r="I275"/>
  <c r="H275"/>
  <c r="G275"/>
  <c r="K274"/>
  <c r="J274"/>
  <c r="I274"/>
  <c r="H274"/>
  <c r="G274"/>
  <c r="K273"/>
  <c r="J273"/>
  <c r="I273"/>
  <c r="H273"/>
  <c r="G273"/>
  <c r="K272"/>
  <c r="J272"/>
  <c r="I272"/>
  <c r="H272"/>
  <c r="G272"/>
  <c r="K271"/>
  <c r="J271"/>
  <c r="I271"/>
  <c r="H271"/>
  <c r="G271"/>
  <c r="K270"/>
  <c r="J270"/>
  <c r="I270"/>
  <c r="H270"/>
  <c r="G270"/>
  <c r="K269"/>
  <c r="J269"/>
  <c r="I269"/>
  <c r="H269"/>
  <c r="G269"/>
  <c r="K268"/>
  <c r="J268"/>
  <c r="I268"/>
  <c r="H268"/>
  <c r="G268"/>
  <c r="K267"/>
  <c r="J267"/>
  <c r="I267"/>
  <c r="H267"/>
  <c r="G267"/>
  <c r="K266"/>
  <c r="J266"/>
  <c r="I266"/>
  <c r="H266"/>
  <c r="G266"/>
  <c r="M266" s="1"/>
  <c r="L266" s="1"/>
  <c r="K265"/>
  <c r="J265"/>
  <c r="I265"/>
  <c r="H265"/>
  <c r="G265"/>
  <c r="K264"/>
  <c r="J264"/>
  <c r="I264"/>
  <c r="H264"/>
  <c r="G264"/>
  <c r="M264" s="1"/>
  <c r="L264" s="1"/>
  <c r="K263"/>
  <c r="J263"/>
  <c r="I263"/>
  <c r="H263"/>
  <c r="G263"/>
  <c r="K262"/>
  <c r="J262"/>
  <c r="I262"/>
  <c r="H262"/>
  <c r="G262"/>
  <c r="K261"/>
  <c r="J261"/>
  <c r="I261"/>
  <c r="H261"/>
  <c r="G261"/>
  <c r="K260"/>
  <c r="J260"/>
  <c r="I260"/>
  <c r="H260"/>
  <c r="G260"/>
  <c r="M260" s="1"/>
  <c r="L260" s="1"/>
  <c r="K259"/>
  <c r="J259"/>
  <c r="I259"/>
  <c r="H259"/>
  <c r="G259"/>
  <c r="K258"/>
  <c r="J258"/>
  <c r="I258"/>
  <c r="H258"/>
  <c r="G258"/>
  <c r="M258" s="1"/>
  <c r="L258" s="1"/>
  <c r="K257"/>
  <c r="J257"/>
  <c r="I257"/>
  <c r="H257"/>
  <c r="G257"/>
  <c r="K256"/>
  <c r="J256"/>
  <c r="I256"/>
  <c r="H256"/>
  <c r="G256"/>
  <c r="M256" s="1"/>
  <c r="L256" s="1"/>
  <c r="K255"/>
  <c r="J255"/>
  <c r="I255"/>
  <c r="H255"/>
  <c r="G255"/>
  <c r="K254"/>
  <c r="J254"/>
  <c r="I254"/>
  <c r="H254"/>
  <c r="G254"/>
  <c r="M254" s="1"/>
  <c r="L254" s="1"/>
  <c r="K253"/>
  <c r="J253"/>
  <c r="I253"/>
  <c r="H253"/>
  <c r="G253"/>
  <c r="K252"/>
  <c r="J252"/>
  <c r="I252"/>
  <c r="H252"/>
  <c r="G252"/>
  <c r="K251"/>
  <c r="J251"/>
  <c r="I251"/>
  <c r="H251"/>
  <c r="G251"/>
  <c r="K250"/>
  <c r="J250"/>
  <c r="I250"/>
  <c r="H250"/>
  <c r="G250"/>
  <c r="K249"/>
  <c r="J249"/>
  <c r="I249"/>
  <c r="H249"/>
  <c r="G249"/>
  <c r="K248"/>
  <c r="J248"/>
  <c r="I248"/>
  <c r="H248"/>
  <c r="G248"/>
  <c r="K247"/>
  <c r="J247"/>
  <c r="I247"/>
  <c r="H247"/>
  <c r="G247"/>
  <c r="K246"/>
  <c r="J246"/>
  <c r="I246"/>
  <c r="H246"/>
  <c r="G246"/>
  <c r="K245"/>
  <c r="J245"/>
  <c r="I245"/>
  <c r="H245"/>
  <c r="G245"/>
  <c r="K244"/>
  <c r="J244"/>
  <c r="I244"/>
  <c r="H244"/>
  <c r="G244"/>
  <c r="K243"/>
  <c r="J243"/>
  <c r="I243"/>
  <c r="H243"/>
  <c r="G243"/>
  <c r="K242"/>
  <c r="J242"/>
  <c r="I242"/>
  <c r="H242"/>
  <c r="G242"/>
  <c r="K241"/>
  <c r="J241"/>
  <c r="I241"/>
  <c r="H241"/>
  <c r="G241"/>
  <c r="K240"/>
  <c r="J240"/>
  <c r="I240"/>
  <c r="H240"/>
  <c r="G240"/>
  <c r="K239"/>
  <c r="J239"/>
  <c r="I239"/>
  <c r="H239"/>
  <c r="G239"/>
  <c r="K238"/>
  <c r="J238"/>
  <c r="I238"/>
  <c r="H238"/>
  <c r="G238"/>
  <c r="K237"/>
  <c r="J237"/>
  <c r="I237"/>
  <c r="H237"/>
  <c r="G237"/>
  <c r="K236"/>
  <c r="J236"/>
  <c r="I236"/>
  <c r="H236"/>
  <c r="G236"/>
  <c r="K235"/>
  <c r="J235"/>
  <c r="I235"/>
  <c r="H235"/>
  <c r="G235"/>
  <c r="K234"/>
  <c r="J234"/>
  <c r="I234"/>
  <c r="H234"/>
  <c r="G234"/>
  <c r="M234" s="1"/>
  <c r="L234" s="1"/>
  <c r="K233"/>
  <c r="J233"/>
  <c r="I233"/>
  <c r="H233"/>
  <c r="G233"/>
  <c r="K232"/>
  <c r="J232"/>
  <c r="I232"/>
  <c r="H232"/>
  <c r="G232"/>
  <c r="M232" s="1"/>
  <c r="L232" s="1"/>
  <c r="K231"/>
  <c r="J231"/>
  <c r="I231"/>
  <c r="H231"/>
  <c r="G231"/>
  <c r="K230"/>
  <c r="J230"/>
  <c r="I230"/>
  <c r="H230"/>
  <c r="G230"/>
  <c r="M230" s="1"/>
  <c r="L230" s="1"/>
  <c r="K229"/>
  <c r="J229"/>
  <c r="I229"/>
  <c r="H229"/>
  <c r="G229"/>
  <c r="K228"/>
  <c r="J228"/>
  <c r="I228"/>
  <c r="H228"/>
  <c r="G228"/>
  <c r="M228" s="1"/>
  <c r="L228" s="1"/>
  <c r="K227"/>
  <c r="J227"/>
  <c r="I227"/>
  <c r="H227"/>
  <c r="G227"/>
  <c r="K226"/>
  <c r="J226"/>
  <c r="I226"/>
  <c r="H226"/>
  <c r="G226"/>
  <c r="M226" s="1"/>
  <c r="L226" s="1"/>
  <c r="K225"/>
  <c r="J225"/>
  <c r="I225"/>
  <c r="H225"/>
  <c r="G225"/>
  <c r="K224"/>
  <c r="J224"/>
  <c r="I224"/>
  <c r="H224"/>
  <c r="G224"/>
  <c r="M224" s="1"/>
  <c r="L224" s="1"/>
  <c r="K223"/>
  <c r="J223"/>
  <c r="I223"/>
  <c r="H223"/>
  <c r="G223"/>
  <c r="K222"/>
  <c r="J222"/>
  <c r="I222"/>
  <c r="H222"/>
  <c r="G222"/>
  <c r="M222" s="1"/>
  <c r="L222" s="1"/>
  <c r="K221"/>
  <c r="J221"/>
  <c r="I221"/>
  <c r="H221"/>
  <c r="G221"/>
  <c r="K220"/>
  <c r="J220"/>
  <c r="I220"/>
  <c r="H220"/>
  <c r="G220"/>
  <c r="M220" s="1"/>
  <c r="L220" s="1"/>
  <c r="K219"/>
  <c r="J219"/>
  <c r="I219"/>
  <c r="H219"/>
  <c r="G219"/>
  <c r="K218"/>
  <c r="J218"/>
  <c r="I218"/>
  <c r="H218"/>
  <c r="G218"/>
  <c r="M218" s="1"/>
  <c r="L218" s="1"/>
  <c r="K217"/>
  <c r="J217"/>
  <c r="I217"/>
  <c r="H217"/>
  <c r="G217"/>
  <c r="K216"/>
  <c r="J216"/>
  <c r="I216"/>
  <c r="H216"/>
  <c r="G216"/>
  <c r="M216" s="1"/>
  <c r="L216" s="1"/>
  <c r="K215"/>
  <c r="J215"/>
  <c r="I215"/>
  <c r="H215"/>
  <c r="G215"/>
  <c r="K214"/>
  <c r="J214"/>
  <c r="I214"/>
  <c r="H214"/>
  <c r="G214"/>
  <c r="M214" s="1"/>
  <c r="L214" s="1"/>
  <c r="K213"/>
  <c r="J213"/>
  <c r="I213"/>
  <c r="H213"/>
  <c r="G213"/>
  <c r="K212"/>
  <c r="J212"/>
  <c r="I212"/>
  <c r="H212"/>
  <c r="G212"/>
  <c r="M212" s="1"/>
  <c r="L212" s="1"/>
  <c r="K211"/>
  <c r="J211"/>
  <c r="I211"/>
  <c r="H211"/>
  <c r="G211"/>
  <c r="K210"/>
  <c r="J210"/>
  <c r="I210"/>
  <c r="H210"/>
  <c r="G210"/>
  <c r="M210" s="1"/>
  <c r="L210" s="1"/>
  <c r="K209"/>
  <c r="J209"/>
  <c r="I209"/>
  <c r="H209"/>
  <c r="G209"/>
  <c r="K208"/>
  <c r="J208"/>
  <c r="I208"/>
  <c r="H208"/>
  <c r="G208"/>
  <c r="M208" s="1"/>
  <c r="L208" s="1"/>
  <c r="K207"/>
  <c r="J207"/>
  <c r="I207"/>
  <c r="H207"/>
  <c r="G207"/>
  <c r="K206"/>
  <c r="J206"/>
  <c r="I206"/>
  <c r="H206"/>
  <c r="G206"/>
  <c r="M206" s="1"/>
  <c r="L206" s="1"/>
  <c r="K205"/>
  <c r="J205"/>
  <c r="I205"/>
  <c r="H205"/>
  <c r="G205"/>
  <c r="K204"/>
  <c r="J204"/>
  <c r="I204"/>
  <c r="H204"/>
  <c r="G204"/>
  <c r="M204" s="1"/>
  <c r="L204" s="1"/>
  <c r="K203"/>
  <c r="J203"/>
  <c r="I203"/>
  <c r="H203"/>
  <c r="G203"/>
  <c r="K202"/>
  <c r="J202"/>
  <c r="I202"/>
  <c r="H202"/>
  <c r="G202"/>
  <c r="M202" s="1"/>
  <c r="L202" s="1"/>
  <c r="K201"/>
  <c r="J201"/>
  <c r="I201"/>
  <c r="H201"/>
  <c r="G201"/>
  <c r="K200"/>
  <c r="J200"/>
  <c r="I200"/>
  <c r="H200"/>
  <c r="G200"/>
  <c r="M200" s="1"/>
  <c r="L200" s="1"/>
  <c r="K199"/>
  <c r="J199"/>
  <c r="I199"/>
  <c r="H199"/>
  <c r="G199"/>
  <c r="K198"/>
  <c r="J198"/>
  <c r="I198"/>
  <c r="H198"/>
  <c r="G198"/>
  <c r="M198" s="1"/>
  <c r="L198" s="1"/>
  <c r="K197"/>
  <c r="J197"/>
  <c r="I197"/>
  <c r="H197"/>
  <c r="G197"/>
  <c r="K196"/>
  <c r="J196"/>
  <c r="I196"/>
  <c r="H196"/>
  <c r="G196"/>
  <c r="M196" s="1"/>
  <c r="L196" s="1"/>
  <c r="K195"/>
  <c r="J195"/>
  <c r="I195"/>
  <c r="H195"/>
  <c r="G195"/>
  <c r="K194"/>
  <c r="J194"/>
  <c r="I194"/>
  <c r="H194"/>
  <c r="G194"/>
  <c r="M194" s="1"/>
  <c r="L194" s="1"/>
  <c r="K193"/>
  <c r="J193"/>
  <c r="I193"/>
  <c r="H193"/>
  <c r="G193"/>
  <c r="K192"/>
  <c r="J192"/>
  <c r="I192"/>
  <c r="H192"/>
  <c r="G192"/>
  <c r="M192" s="1"/>
  <c r="L192" s="1"/>
  <c r="K191"/>
  <c r="J191"/>
  <c r="I191"/>
  <c r="H191"/>
  <c r="G191"/>
  <c r="K190"/>
  <c r="J190"/>
  <c r="I190"/>
  <c r="H190"/>
  <c r="G190"/>
  <c r="M190" s="1"/>
  <c r="L190" s="1"/>
  <c r="K189"/>
  <c r="J189"/>
  <c r="I189"/>
  <c r="H189"/>
  <c r="G189"/>
  <c r="K188"/>
  <c r="J188"/>
  <c r="I188"/>
  <c r="H188"/>
  <c r="G188"/>
  <c r="M188" s="1"/>
  <c r="L188" s="1"/>
  <c r="K187"/>
  <c r="J187"/>
  <c r="I187"/>
  <c r="H187"/>
  <c r="G187"/>
  <c r="K186"/>
  <c r="J186"/>
  <c r="I186"/>
  <c r="H186"/>
  <c r="G186"/>
  <c r="M186" s="1"/>
  <c r="L186" s="1"/>
  <c r="K185"/>
  <c r="J185"/>
  <c r="I185"/>
  <c r="H185"/>
  <c r="G185"/>
  <c r="K184"/>
  <c r="J184"/>
  <c r="I184"/>
  <c r="H184"/>
  <c r="G184"/>
  <c r="M184" s="1"/>
  <c r="L184" s="1"/>
  <c r="K183"/>
  <c r="J183"/>
  <c r="I183"/>
  <c r="H183"/>
  <c r="G183"/>
  <c r="K182"/>
  <c r="J182"/>
  <c r="I182"/>
  <c r="H182"/>
  <c r="G182"/>
  <c r="M182" s="1"/>
  <c r="L182" s="1"/>
  <c r="K181"/>
  <c r="J181"/>
  <c r="I181"/>
  <c r="H181"/>
  <c r="G181"/>
  <c r="K180"/>
  <c r="J180"/>
  <c r="I180"/>
  <c r="H180"/>
  <c r="G180"/>
  <c r="M180" s="1"/>
  <c r="L180" s="1"/>
  <c r="K179"/>
  <c r="J179"/>
  <c r="I179"/>
  <c r="H179"/>
  <c r="G179"/>
  <c r="K178"/>
  <c r="J178"/>
  <c r="I178"/>
  <c r="H178"/>
  <c r="G178"/>
  <c r="M178" s="1"/>
  <c r="L178" s="1"/>
  <c r="K177"/>
  <c r="J177"/>
  <c r="I177"/>
  <c r="H177"/>
  <c r="G177"/>
  <c r="K176"/>
  <c r="J176"/>
  <c r="I176"/>
  <c r="H176"/>
  <c r="G176"/>
  <c r="M176" s="1"/>
  <c r="L176" s="1"/>
  <c r="K175"/>
  <c r="J175"/>
  <c r="I175"/>
  <c r="H175"/>
  <c r="G175"/>
  <c r="K174"/>
  <c r="J174"/>
  <c r="I174"/>
  <c r="H174"/>
  <c r="G174"/>
  <c r="M174" s="1"/>
  <c r="L174" s="1"/>
  <c r="K173"/>
  <c r="J173"/>
  <c r="I173"/>
  <c r="H173"/>
  <c r="G173"/>
  <c r="K172"/>
  <c r="J172"/>
  <c r="I172"/>
  <c r="H172"/>
  <c r="G172"/>
  <c r="M172" s="1"/>
  <c r="L172" s="1"/>
  <c r="K171"/>
  <c r="J171"/>
  <c r="I171"/>
  <c r="H171"/>
  <c r="G171"/>
  <c r="K170"/>
  <c r="J170"/>
  <c r="I170"/>
  <c r="H170"/>
  <c r="G170"/>
  <c r="M170" s="1"/>
  <c r="L170" s="1"/>
  <c r="K169"/>
  <c r="J169"/>
  <c r="I169"/>
  <c r="H169"/>
  <c r="G169"/>
  <c r="K168"/>
  <c r="J168"/>
  <c r="I168"/>
  <c r="H168"/>
  <c r="G168"/>
  <c r="M168" s="1"/>
  <c r="L168" s="1"/>
  <c r="K167"/>
  <c r="J167"/>
  <c r="I167"/>
  <c r="H167"/>
  <c r="G167"/>
  <c r="K166"/>
  <c r="J166"/>
  <c r="I166"/>
  <c r="H166"/>
  <c r="G166"/>
  <c r="K165"/>
  <c r="J165"/>
  <c r="I165"/>
  <c r="H165"/>
  <c r="G165"/>
  <c r="K164"/>
  <c r="J164"/>
  <c r="I164"/>
  <c r="H164"/>
  <c r="G164"/>
  <c r="M164" s="1"/>
  <c r="L164" s="1"/>
  <c r="K163"/>
  <c r="J163"/>
  <c r="I163"/>
  <c r="H163"/>
  <c r="G163"/>
  <c r="K162"/>
  <c r="J162"/>
  <c r="I162"/>
  <c r="H162"/>
  <c r="G162"/>
  <c r="M162" s="1"/>
  <c r="L162" s="1"/>
  <c r="K161"/>
  <c r="J161"/>
  <c r="I161"/>
  <c r="H161"/>
  <c r="G161"/>
  <c r="K160"/>
  <c r="J160"/>
  <c r="I160"/>
  <c r="H160"/>
  <c r="G160"/>
  <c r="M160" s="1"/>
  <c r="L160" s="1"/>
  <c r="K159"/>
  <c r="J159"/>
  <c r="I159"/>
  <c r="H159"/>
  <c r="G159"/>
  <c r="K158"/>
  <c r="J158"/>
  <c r="I158"/>
  <c r="H158"/>
  <c r="G158"/>
  <c r="M158" s="1"/>
  <c r="L158" s="1"/>
  <c r="K157"/>
  <c r="J157"/>
  <c r="I157"/>
  <c r="H157"/>
  <c r="G157"/>
  <c r="K156"/>
  <c r="J156"/>
  <c r="I156"/>
  <c r="H156"/>
  <c r="G156"/>
  <c r="M156" s="1"/>
  <c r="L156" s="1"/>
  <c r="K155"/>
  <c r="J155"/>
  <c r="I155"/>
  <c r="H155"/>
  <c r="G155"/>
  <c r="K154"/>
  <c r="J154"/>
  <c r="I154"/>
  <c r="H154"/>
  <c r="G154"/>
  <c r="M154" s="1"/>
  <c r="L154" s="1"/>
  <c r="K153"/>
  <c r="J153"/>
  <c r="I153"/>
  <c r="H153"/>
  <c r="G153"/>
  <c r="K152"/>
  <c r="J152"/>
  <c r="I152"/>
  <c r="H152"/>
  <c r="G152"/>
  <c r="K151"/>
  <c r="J151"/>
  <c r="I151"/>
  <c r="H151"/>
  <c r="G151"/>
  <c r="K150"/>
  <c r="J150"/>
  <c r="I150"/>
  <c r="H150"/>
  <c r="G150"/>
  <c r="K149"/>
  <c r="J149"/>
  <c r="I149"/>
  <c r="H149"/>
  <c r="G149"/>
  <c r="K148"/>
  <c r="J148"/>
  <c r="I148"/>
  <c r="H148"/>
  <c r="G148"/>
  <c r="K147"/>
  <c r="J147"/>
  <c r="I147"/>
  <c r="H147"/>
  <c r="G147"/>
  <c r="K146"/>
  <c r="J146"/>
  <c r="I146"/>
  <c r="H146"/>
  <c r="G146"/>
  <c r="K145"/>
  <c r="J145"/>
  <c r="I145"/>
  <c r="H145"/>
  <c r="G145"/>
  <c r="K144"/>
  <c r="J144"/>
  <c r="I144"/>
  <c r="H144"/>
  <c r="G144"/>
  <c r="K143"/>
  <c r="J143"/>
  <c r="I143"/>
  <c r="H143"/>
  <c r="G143"/>
  <c r="K142"/>
  <c r="J142"/>
  <c r="I142"/>
  <c r="H142"/>
  <c r="G142"/>
  <c r="K141"/>
  <c r="J141"/>
  <c r="I141"/>
  <c r="H141"/>
  <c r="G141"/>
  <c r="K140"/>
  <c r="J140"/>
  <c r="I140"/>
  <c r="H140"/>
  <c r="G140"/>
  <c r="M140" s="1"/>
  <c r="L140" s="1"/>
  <c r="K139"/>
  <c r="J139"/>
  <c r="I139"/>
  <c r="H139"/>
  <c r="G139"/>
  <c r="K138"/>
  <c r="J138"/>
  <c r="I138"/>
  <c r="H138"/>
  <c r="G138"/>
  <c r="M138" s="1"/>
  <c r="L138" s="1"/>
  <c r="K137"/>
  <c r="J137"/>
  <c r="I137"/>
  <c r="H137"/>
  <c r="G137"/>
  <c r="K136"/>
  <c r="J136"/>
  <c r="I136"/>
  <c r="H136"/>
  <c r="G136"/>
  <c r="M136" s="1"/>
  <c r="L136" s="1"/>
  <c r="K135"/>
  <c r="J135"/>
  <c r="I135"/>
  <c r="H135"/>
  <c r="G135"/>
  <c r="K134"/>
  <c r="J134"/>
  <c r="I134"/>
  <c r="H134"/>
  <c r="G134"/>
  <c r="M134" s="1"/>
  <c r="L134" s="1"/>
  <c r="K133"/>
  <c r="J133"/>
  <c r="I133"/>
  <c r="H133"/>
  <c r="G133"/>
  <c r="K132"/>
  <c r="J132"/>
  <c r="I132"/>
  <c r="H132"/>
  <c r="G132"/>
  <c r="M132" s="1"/>
  <c r="L132" s="1"/>
  <c r="K131"/>
  <c r="J131"/>
  <c r="I131"/>
  <c r="H131"/>
  <c r="G131"/>
  <c r="K130"/>
  <c r="J130"/>
  <c r="I130"/>
  <c r="H130"/>
  <c r="G130"/>
  <c r="M130" s="1"/>
  <c r="L130" s="1"/>
  <c r="K129"/>
  <c r="J129"/>
  <c r="I129"/>
  <c r="H129"/>
  <c r="G129"/>
  <c r="K128"/>
  <c r="J128"/>
  <c r="I128"/>
  <c r="H128"/>
  <c r="G128"/>
  <c r="M128" s="1"/>
  <c r="L128" s="1"/>
  <c r="K127"/>
  <c r="J127"/>
  <c r="I127"/>
  <c r="H127"/>
  <c r="G127"/>
  <c r="K126"/>
  <c r="J126"/>
  <c r="I126"/>
  <c r="H126"/>
  <c r="G126"/>
  <c r="M126" s="1"/>
  <c r="L126" s="1"/>
  <c r="K125"/>
  <c r="J125"/>
  <c r="I125"/>
  <c r="H125"/>
  <c r="G125"/>
  <c r="K124"/>
  <c r="J124"/>
  <c r="I124"/>
  <c r="H124"/>
  <c r="G124"/>
  <c r="K123"/>
  <c r="J123"/>
  <c r="I123"/>
  <c r="H123"/>
  <c r="G123"/>
  <c r="K122"/>
  <c r="J122"/>
  <c r="I122"/>
  <c r="H122"/>
  <c r="G122"/>
  <c r="K121"/>
  <c r="J121"/>
  <c r="I121"/>
  <c r="H121"/>
  <c r="G121"/>
  <c r="K120"/>
  <c r="J120"/>
  <c r="I120"/>
  <c r="H120"/>
  <c r="G120"/>
  <c r="K119"/>
  <c r="J119"/>
  <c r="I119"/>
  <c r="H119"/>
  <c r="G119"/>
  <c r="K118"/>
  <c r="J118"/>
  <c r="I118"/>
  <c r="H118"/>
  <c r="G118"/>
  <c r="K117"/>
  <c r="J117"/>
  <c r="I117"/>
  <c r="H117"/>
  <c r="G117"/>
  <c r="K116"/>
  <c r="J116"/>
  <c r="I116"/>
  <c r="H116"/>
  <c r="G116"/>
  <c r="K115"/>
  <c r="J115"/>
  <c r="I115"/>
  <c r="H115"/>
  <c r="G115"/>
  <c r="K114"/>
  <c r="J114"/>
  <c r="I114"/>
  <c r="H114"/>
  <c r="G114"/>
  <c r="K113"/>
  <c r="J113"/>
  <c r="I113"/>
  <c r="H113"/>
  <c r="G113"/>
  <c r="K112"/>
  <c r="J112"/>
  <c r="I112"/>
  <c r="H112"/>
  <c r="G112"/>
  <c r="K111"/>
  <c r="J111"/>
  <c r="I111"/>
  <c r="H111"/>
  <c r="G111"/>
  <c r="K110"/>
  <c r="J110"/>
  <c r="I110"/>
  <c r="H110"/>
  <c r="G110"/>
  <c r="K109"/>
  <c r="J109"/>
  <c r="I109"/>
  <c r="H109"/>
  <c r="G109"/>
  <c r="K108"/>
  <c r="J108"/>
  <c r="I108"/>
  <c r="H108"/>
  <c r="G108"/>
  <c r="K107"/>
  <c r="J107"/>
  <c r="I107"/>
  <c r="H107"/>
  <c r="G107"/>
  <c r="K106"/>
  <c r="J106"/>
  <c r="I106"/>
  <c r="H106"/>
  <c r="G106"/>
  <c r="K105"/>
  <c r="J105"/>
  <c r="I105"/>
  <c r="H105"/>
  <c r="G105"/>
  <c r="K104"/>
  <c r="J104"/>
  <c r="I104"/>
  <c r="H104"/>
  <c r="G104"/>
  <c r="K103"/>
  <c r="J103"/>
  <c r="I103"/>
  <c r="H103"/>
  <c r="G103"/>
  <c r="K102"/>
  <c r="J102"/>
  <c r="I102"/>
  <c r="H102"/>
  <c r="G102"/>
  <c r="K101"/>
  <c r="J101"/>
  <c r="I101"/>
  <c r="H101"/>
  <c r="G101"/>
  <c r="K100"/>
  <c r="J100"/>
  <c r="I100"/>
  <c r="H100"/>
  <c r="G100"/>
  <c r="K99"/>
  <c r="J99"/>
  <c r="I99"/>
  <c r="H99"/>
  <c r="G99"/>
  <c r="K98"/>
  <c r="J98"/>
  <c r="I98"/>
  <c r="H98"/>
  <c r="G98"/>
  <c r="M98" s="1"/>
  <c r="L98" s="1"/>
  <c r="K97"/>
  <c r="J97"/>
  <c r="I97"/>
  <c r="H97"/>
  <c r="G97"/>
  <c r="K96"/>
  <c r="J96"/>
  <c r="I96"/>
  <c r="H96"/>
  <c r="G96"/>
  <c r="M96" s="1"/>
  <c r="L96" s="1"/>
  <c r="K95"/>
  <c r="J95"/>
  <c r="I95"/>
  <c r="H95"/>
  <c r="G95"/>
  <c r="K94"/>
  <c r="J94"/>
  <c r="I94"/>
  <c r="H94"/>
  <c r="G94"/>
  <c r="M94" s="1"/>
  <c r="L94" s="1"/>
  <c r="K93"/>
  <c r="J93"/>
  <c r="I93"/>
  <c r="H93"/>
  <c r="G93"/>
  <c r="K92"/>
  <c r="J92"/>
  <c r="I92"/>
  <c r="H92"/>
  <c r="G92"/>
  <c r="M92" s="1"/>
  <c r="L92" s="1"/>
  <c r="K91"/>
  <c r="J91"/>
  <c r="I91"/>
  <c r="H91"/>
  <c r="G91"/>
  <c r="K90"/>
  <c r="J90"/>
  <c r="I90"/>
  <c r="H90"/>
  <c r="G90"/>
  <c r="M90" s="1"/>
  <c r="L90" s="1"/>
  <c r="K89"/>
  <c r="J89"/>
  <c r="I89"/>
  <c r="H89"/>
  <c r="G89"/>
  <c r="K88"/>
  <c r="J88"/>
  <c r="I88"/>
  <c r="H88"/>
  <c r="G88"/>
  <c r="M88" s="1"/>
  <c r="L88" s="1"/>
  <c r="K87"/>
  <c r="J87"/>
  <c r="I87"/>
  <c r="H87"/>
  <c r="G87"/>
  <c r="K86"/>
  <c r="J86"/>
  <c r="I86"/>
  <c r="H86"/>
  <c r="G86"/>
  <c r="M86" s="1"/>
  <c r="L86" s="1"/>
  <c r="K85"/>
  <c r="J85"/>
  <c r="I85"/>
  <c r="H85"/>
  <c r="G85"/>
  <c r="K84"/>
  <c r="J84"/>
  <c r="I84"/>
  <c r="H84"/>
  <c r="G84"/>
  <c r="M84" s="1"/>
  <c r="L84" s="1"/>
  <c r="K83"/>
  <c r="J83"/>
  <c r="I83"/>
  <c r="H83"/>
  <c r="G83"/>
  <c r="K82"/>
  <c r="J82"/>
  <c r="I82"/>
  <c r="H82"/>
  <c r="G82"/>
  <c r="M82" s="1"/>
  <c r="L82" s="1"/>
  <c r="K81"/>
  <c r="J81"/>
  <c r="I81"/>
  <c r="H81"/>
  <c r="G81"/>
  <c r="K80"/>
  <c r="J80"/>
  <c r="I80"/>
  <c r="H80"/>
  <c r="G80"/>
  <c r="M80" s="1"/>
  <c r="L80" s="1"/>
  <c r="K79"/>
  <c r="J79"/>
  <c r="I79"/>
  <c r="H79"/>
  <c r="G79"/>
  <c r="K78"/>
  <c r="J78"/>
  <c r="I78"/>
  <c r="H78"/>
  <c r="G78"/>
  <c r="K77"/>
  <c r="J77"/>
  <c r="I77"/>
  <c r="H77"/>
  <c r="G77"/>
  <c r="K76"/>
  <c r="J76"/>
  <c r="I76"/>
  <c r="H76"/>
  <c r="G76"/>
  <c r="K75"/>
  <c r="J75"/>
  <c r="I75"/>
  <c r="H75"/>
  <c r="G75"/>
  <c r="K74"/>
  <c r="J74"/>
  <c r="I74"/>
  <c r="H74"/>
  <c r="G74"/>
  <c r="K73"/>
  <c r="J73"/>
  <c r="I73"/>
  <c r="H73"/>
  <c r="G73"/>
  <c r="K72"/>
  <c r="J72"/>
  <c r="I72"/>
  <c r="H72"/>
  <c r="G72"/>
  <c r="K71"/>
  <c r="J71"/>
  <c r="I71"/>
  <c r="H71"/>
  <c r="G71"/>
  <c r="K70"/>
  <c r="J70"/>
  <c r="I70"/>
  <c r="H70"/>
  <c r="G70"/>
  <c r="K69"/>
  <c r="J69"/>
  <c r="I69"/>
  <c r="H69"/>
  <c r="G69"/>
  <c r="K68"/>
  <c r="J68"/>
  <c r="I68"/>
  <c r="H68"/>
  <c r="G68"/>
  <c r="K67"/>
  <c r="J67"/>
  <c r="I67"/>
  <c r="H67"/>
  <c r="G67"/>
  <c r="K66"/>
  <c r="J66"/>
  <c r="I66"/>
  <c r="H66"/>
  <c r="G66"/>
  <c r="K65"/>
  <c r="J65"/>
  <c r="I65"/>
  <c r="H65"/>
  <c r="G65"/>
  <c r="K64"/>
  <c r="J64"/>
  <c r="I64"/>
  <c r="H64"/>
  <c r="G64"/>
  <c r="K63"/>
  <c r="J63"/>
  <c r="I63"/>
  <c r="H63"/>
  <c r="G63"/>
  <c r="K62"/>
  <c r="J62"/>
  <c r="I62"/>
  <c r="H62"/>
  <c r="G62"/>
  <c r="K61"/>
  <c r="J61"/>
  <c r="I61"/>
  <c r="H61"/>
  <c r="G61"/>
  <c r="K60"/>
  <c r="J60"/>
  <c r="I60"/>
  <c r="H60"/>
  <c r="G60"/>
  <c r="K59"/>
  <c r="J59"/>
  <c r="I59"/>
  <c r="H59"/>
  <c r="G59"/>
  <c r="K58"/>
  <c r="J58"/>
  <c r="I58"/>
  <c r="H58"/>
  <c r="G58"/>
  <c r="K57"/>
  <c r="J57"/>
  <c r="I57"/>
  <c r="H57"/>
  <c r="G57"/>
  <c r="K56"/>
  <c r="J56"/>
  <c r="I56"/>
  <c r="H56"/>
  <c r="G56"/>
  <c r="K55"/>
  <c r="J55"/>
  <c r="I55"/>
  <c r="H55"/>
  <c r="G55"/>
  <c r="K54"/>
  <c r="J54"/>
  <c r="I54"/>
  <c r="H54"/>
  <c r="G54"/>
  <c r="K53"/>
  <c r="J53"/>
  <c r="I53"/>
  <c r="H53"/>
  <c r="G53"/>
  <c r="K52"/>
  <c r="J52"/>
  <c r="I52"/>
  <c r="H52"/>
  <c r="G52"/>
  <c r="K51"/>
  <c r="J51"/>
  <c r="I51"/>
  <c r="H51"/>
  <c r="G51"/>
  <c r="K50"/>
  <c r="J50"/>
  <c r="I50"/>
  <c r="H50"/>
  <c r="G50"/>
  <c r="M50" s="1"/>
  <c r="L50" s="1"/>
  <c r="K49"/>
  <c r="J49"/>
  <c r="I49"/>
  <c r="H49"/>
  <c r="G49"/>
  <c r="K48"/>
  <c r="J48"/>
  <c r="I48"/>
  <c r="H48"/>
  <c r="G48"/>
  <c r="M48" s="1"/>
  <c r="L48" s="1"/>
  <c r="K47"/>
  <c r="J47"/>
  <c r="I47"/>
  <c r="H47"/>
  <c r="G47"/>
  <c r="K46"/>
  <c r="J46"/>
  <c r="I46"/>
  <c r="H46"/>
  <c r="G46"/>
  <c r="K45"/>
  <c r="J45"/>
  <c r="I45"/>
  <c r="H45"/>
  <c r="G45"/>
  <c r="K44"/>
  <c r="J44"/>
  <c r="I44"/>
  <c r="H44"/>
  <c r="G44"/>
  <c r="K43"/>
  <c r="J43"/>
  <c r="I43"/>
  <c r="H43"/>
  <c r="G43"/>
  <c r="K42"/>
  <c r="J42"/>
  <c r="I42"/>
  <c r="H42"/>
  <c r="G42"/>
  <c r="K41"/>
  <c r="J41"/>
  <c r="I41"/>
  <c r="H41"/>
  <c r="G41"/>
  <c r="K40"/>
  <c r="J40"/>
  <c r="I40"/>
  <c r="H40"/>
  <c r="G40"/>
  <c r="K39"/>
  <c r="J39"/>
  <c r="I39"/>
  <c r="H39"/>
  <c r="G39"/>
  <c r="K38"/>
  <c r="J38"/>
  <c r="I38"/>
  <c r="H38"/>
  <c r="G38"/>
  <c r="K37"/>
  <c r="J37"/>
  <c r="I37"/>
  <c r="H37"/>
  <c r="G37"/>
  <c r="K36"/>
  <c r="J36"/>
  <c r="I36"/>
  <c r="H36"/>
  <c r="G36"/>
  <c r="K35"/>
  <c r="J35"/>
  <c r="I35"/>
  <c r="H35"/>
  <c r="G35"/>
  <c r="K34"/>
  <c r="J34"/>
  <c r="I34"/>
  <c r="H34"/>
  <c r="G34"/>
  <c r="K33"/>
  <c r="J33"/>
  <c r="I33"/>
  <c r="H33"/>
  <c r="G33"/>
  <c r="K32"/>
  <c r="J32"/>
  <c r="I32"/>
  <c r="H32"/>
  <c r="G32"/>
  <c r="K31"/>
  <c r="J31"/>
  <c r="I31"/>
  <c r="H31"/>
  <c r="G31"/>
  <c r="K30"/>
  <c r="J30"/>
  <c r="I30"/>
  <c r="H30"/>
  <c r="G30"/>
  <c r="K29"/>
  <c r="J29"/>
  <c r="I29"/>
  <c r="H29"/>
  <c r="G29"/>
  <c r="K28"/>
  <c r="J28"/>
  <c r="I28"/>
  <c r="H28"/>
  <c r="G28"/>
  <c r="K27"/>
  <c r="J27"/>
  <c r="I27"/>
  <c r="H27"/>
  <c r="G27"/>
  <c r="K26"/>
  <c r="J26"/>
  <c r="I26"/>
  <c r="H26"/>
  <c r="G26"/>
  <c r="K25"/>
  <c r="J25"/>
  <c r="I25"/>
  <c r="H25"/>
  <c r="G25"/>
  <c r="K24"/>
  <c r="J24"/>
  <c r="I24"/>
  <c r="H24"/>
  <c r="G24"/>
  <c r="K23"/>
  <c r="J23"/>
  <c r="I23"/>
  <c r="H23"/>
  <c r="G23"/>
  <c r="K22"/>
  <c r="J22"/>
  <c r="I22"/>
  <c r="H22"/>
  <c r="G22"/>
  <c r="K21"/>
  <c r="J21"/>
  <c r="I21"/>
  <c r="H21"/>
  <c r="G21"/>
  <c r="K20"/>
  <c r="J20"/>
  <c r="I20"/>
  <c r="H20"/>
  <c r="G20"/>
  <c r="K19"/>
  <c r="J19"/>
  <c r="I19"/>
  <c r="H19"/>
  <c r="G19"/>
  <c r="K18"/>
  <c r="J18"/>
  <c r="I18"/>
  <c r="H18"/>
  <c r="G18"/>
  <c r="M18" s="1"/>
  <c r="L18" s="1"/>
  <c r="K17"/>
  <c r="J17"/>
  <c r="I17"/>
  <c r="H17"/>
  <c r="G17"/>
  <c r="K16"/>
  <c r="J16"/>
  <c r="I16"/>
  <c r="H16"/>
  <c r="G16"/>
  <c r="M16" s="1"/>
  <c r="L16" s="1"/>
  <c r="K15"/>
  <c r="J15"/>
  <c r="I15"/>
  <c r="H15"/>
  <c r="G15"/>
  <c r="K14"/>
  <c r="J14"/>
  <c r="I14"/>
  <c r="H14"/>
  <c r="G14"/>
  <c r="M14" s="1"/>
  <c r="L14" s="1"/>
  <c r="K13"/>
  <c r="J13"/>
  <c r="I13"/>
  <c r="H13"/>
  <c r="G13"/>
  <c r="K12"/>
  <c r="J12"/>
  <c r="I12"/>
  <c r="H12"/>
  <c r="G12"/>
  <c r="M12" s="1"/>
  <c r="L12" s="1"/>
  <c r="K11"/>
  <c r="J11"/>
  <c r="I11"/>
  <c r="H11"/>
  <c r="G11"/>
  <c r="K10"/>
  <c r="J10"/>
  <c r="I10"/>
  <c r="H10"/>
  <c r="G10"/>
  <c r="M10" s="1"/>
  <c r="L10" s="1"/>
  <c r="K9"/>
  <c r="J9"/>
  <c r="I9"/>
  <c r="H9"/>
  <c r="G9"/>
  <c r="K8"/>
  <c r="J8"/>
  <c r="I8"/>
  <c r="H8"/>
  <c r="G8"/>
  <c r="M8" s="1"/>
  <c r="L8" s="1"/>
  <c r="K7"/>
  <c r="J7"/>
  <c r="I7"/>
  <c r="H7"/>
  <c r="G7"/>
  <c r="K6"/>
  <c r="J6"/>
  <c r="I6"/>
  <c r="H6"/>
  <c r="G6"/>
  <c r="M6" s="1"/>
  <c r="L6" s="1"/>
  <c r="K5"/>
  <c r="J5"/>
  <c r="I5"/>
  <c r="H5"/>
  <c r="G5"/>
  <c r="K470"/>
  <c r="J4"/>
  <c r="I4"/>
  <c r="I470" s="1"/>
  <c r="H4"/>
  <c r="G4"/>
  <c r="G470" s="1"/>
  <c r="M362" l="1"/>
  <c r="L362" s="1"/>
  <c r="M366"/>
  <c r="L366" s="1"/>
  <c r="M368"/>
  <c r="M370"/>
  <c r="L370" s="1"/>
  <c r="M372"/>
  <c r="L372" s="1"/>
  <c r="M374"/>
  <c r="L374" s="1"/>
  <c r="M380"/>
  <c r="L380" s="1"/>
  <c r="M382"/>
  <c r="L382" s="1"/>
  <c r="M384"/>
  <c r="L384" s="1"/>
  <c r="M386"/>
  <c r="L386" s="1"/>
  <c r="M388"/>
  <c r="L388" s="1"/>
  <c r="M390"/>
  <c r="L390" s="1"/>
  <c r="M392"/>
  <c r="L392" s="1"/>
  <c r="M394"/>
  <c r="L394" s="1"/>
  <c r="M396"/>
  <c r="L396" s="1"/>
  <c r="M398"/>
  <c r="L398" s="1"/>
  <c r="M402"/>
  <c r="L402" s="1"/>
  <c r="M404"/>
  <c r="L404" s="1"/>
  <c r="M406"/>
  <c r="L406" s="1"/>
  <c r="M408"/>
  <c r="L408" s="1"/>
  <c r="M410"/>
  <c r="L410" s="1"/>
  <c r="M412"/>
  <c r="L412" s="1"/>
  <c r="M418"/>
  <c r="L418" s="1"/>
  <c r="M420"/>
  <c r="L420" s="1"/>
  <c r="M422"/>
  <c r="L422" s="1"/>
  <c r="M424"/>
  <c r="L424" s="1"/>
  <c r="M426"/>
  <c r="L426" s="1"/>
  <c r="M428"/>
  <c r="L428" s="1"/>
  <c r="M430"/>
  <c r="L430" s="1"/>
  <c r="M432"/>
  <c r="L432" s="1"/>
  <c r="M434"/>
  <c r="L434" s="1"/>
  <c r="M436"/>
  <c r="L436" s="1"/>
  <c r="M438"/>
  <c r="L438" s="1"/>
  <c r="M440"/>
  <c r="L440" s="1"/>
  <c r="M442"/>
  <c r="L442" s="1"/>
  <c r="M444"/>
  <c r="L444" s="1"/>
  <c r="M446"/>
  <c r="L446" s="1"/>
  <c r="M448"/>
  <c r="L448" s="1"/>
  <c r="M450"/>
  <c r="L450" s="1"/>
  <c r="M452"/>
  <c r="L452" s="1"/>
  <c r="M454"/>
  <c r="L454" s="1"/>
  <c r="M464"/>
  <c r="L464" s="1"/>
  <c r="M466"/>
  <c r="L466" s="1"/>
  <c r="M20"/>
  <c r="L20" s="1"/>
  <c r="M4"/>
  <c r="L4" s="1"/>
  <c r="M78"/>
  <c r="L78" s="1"/>
  <c r="H470"/>
  <c r="J470"/>
  <c r="M21"/>
  <c r="L21" s="1"/>
  <c r="M23"/>
  <c r="L23" s="1"/>
  <c r="M25"/>
  <c r="L25" s="1"/>
  <c r="M27"/>
  <c r="L27" s="1"/>
  <c r="M29"/>
  <c r="L29" s="1"/>
  <c r="M31"/>
  <c r="L31" s="1"/>
  <c r="M33"/>
  <c r="L33" s="1"/>
  <c r="M35"/>
  <c r="L35" s="1"/>
  <c r="M37"/>
  <c r="L37" s="1"/>
  <c r="M39"/>
  <c r="L39" s="1"/>
  <c r="M41"/>
  <c r="L41" s="1"/>
  <c r="M43"/>
  <c r="L43" s="1"/>
  <c r="M45"/>
  <c r="L45" s="1"/>
  <c r="M49"/>
  <c r="L49" s="1"/>
  <c r="M51"/>
  <c r="L51" s="1"/>
  <c r="M53"/>
  <c r="L53" s="1"/>
  <c r="M55"/>
  <c r="L55" s="1"/>
  <c r="M57"/>
  <c r="L57" s="1"/>
  <c r="M59"/>
  <c r="L59" s="1"/>
  <c r="M61"/>
  <c r="L61" s="1"/>
  <c r="M63"/>
  <c r="L63" s="1"/>
  <c r="M65"/>
  <c r="L65" s="1"/>
  <c r="M67"/>
  <c r="L67" s="1"/>
  <c r="M69"/>
  <c r="L69" s="1"/>
  <c r="M71"/>
  <c r="L71" s="1"/>
  <c r="M73"/>
  <c r="L73" s="1"/>
  <c r="M87"/>
  <c r="L87" s="1"/>
  <c r="M89"/>
  <c r="L89" s="1"/>
  <c r="M99"/>
  <c r="L99" s="1"/>
  <c r="M101"/>
  <c r="L101" s="1"/>
  <c r="M103"/>
  <c r="L103" s="1"/>
  <c r="M105"/>
  <c r="L105" s="1"/>
  <c r="M107"/>
  <c r="L107" s="1"/>
  <c r="M109"/>
  <c r="L109" s="1"/>
  <c r="M111"/>
  <c r="L111" s="1"/>
  <c r="M113"/>
  <c r="L113" s="1"/>
  <c r="M115"/>
  <c r="L115" s="1"/>
  <c r="M117"/>
  <c r="L117" s="1"/>
  <c r="M119"/>
  <c r="L119" s="1"/>
  <c r="M121"/>
  <c r="L121" s="1"/>
  <c r="M123"/>
  <c r="L123" s="1"/>
  <c r="M137"/>
  <c r="L137" s="1"/>
  <c r="M139"/>
  <c r="L139" s="1"/>
  <c r="M141"/>
  <c r="L141" s="1"/>
  <c r="M143"/>
  <c r="L143" s="1"/>
  <c r="M145"/>
  <c r="L145" s="1"/>
  <c r="M147"/>
  <c r="L147" s="1"/>
  <c r="M149"/>
  <c r="L149" s="1"/>
  <c r="M167"/>
  <c r="L167" s="1"/>
  <c r="M169"/>
  <c r="L169" s="1"/>
  <c r="M179"/>
  <c r="L179" s="1"/>
  <c r="M199"/>
  <c r="L199" s="1"/>
  <c r="M239"/>
  <c r="L239" s="1"/>
  <c r="M241"/>
  <c r="L241" s="1"/>
  <c r="M243"/>
  <c r="L243" s="1"/>
  <c r="M245"/>
  <c r="L245" s="1"/>
  <c r="M247"/>
  <c r="L247" s="1"/>
  <c r="M249"/>
  <c r="L249" s="1"/>
  <c r="M251"/>
  <c r="L251" s="1"/>
  <c r="M253"/>
  <c r="L253" s="1"/>
  <c r="M255"/>
  <c r="L255" s="1"/>
  <c r="M259"/>
  <c r="L259" s="1"/>
  <c r="M261"/>
  <c r="L261" s="1"/>
  <c r="M263"/>
  <c r="L263" s="1"/>
  <c r="M265"/>
  <c r="L265" s="1"/>
  <c r="M267"/>
  <c r="L267" s="1"/>
  <c r="M269"/>
  <c r="L269" s="1"/>
  <c r="M271"/>
  <c r="L271" s="1"/>
  <c r="M273"/>
  <c r="L273" s="1"/>
  <c r="M275"/>
  <c r="L275" s="1"/>
  <c r="M277"/>
  <c r="L277" s="1"/>
  <c r="M279"/>
  <c r="L279" s="1"/>
  <c r="M281"/>
  <c r="L281" s="1"/>
  <c r="M283"/>
  <c r="L283" s="1"/>
  <c r="M287"/>
  <c r="L287" s="1"/>
  <c r="M325"/>
  <c r="L325" s="1"/>
  <c r="M327"/>
  <c r="L327" s="1"/>
  <c r="M329"/>
  <c r="L329" s="1"/>
  <c r="M331"/>
  <c r="L331" s="1"/>
  <c r="M333"/>
  <c r="L333" s="1"/>
  <c r="M335"/>
  <c r="L335" s="1"/>
  <c r="M337"/>
  <c r="L337" s="1"/>
  <c r="M339"/>
  <c r="L339" s="1"/>
  <c r="M341"/>
  <c r="L341" s="1"/>
  <c r="M343"/>
  <c r="L343" s="1"/>
  <c r="M345"/>
  <c r="L345" s="1"/>
  <c r="M347"/>
  <c r="L347" s="1"/>
  <c r="M349"/>
  <c r="L349" s="1"/>
  <c r="M351"/>
  <c r="L351" s="1"/>
  <c r="M353"/>
  <c r="L353" s="1"/>
  <c r="M365"/>
  <c r="L365" s="1"/>
  <c r="M369"/>
  <c r="M371"/>
  <c r="L371" s="1"/>
  <c r="M13"/>
  <c r="L13" s="1"/>
  <c r="M15"/>
  <c r="L15" s="1"/>
  <c r="M17"/>
  <c r="L17" s="1"/>
  <c r="M19"/>
  <c r="L19" s="1"/>
  <c r="M47"/>
  <c r="L47" s="1"/>
  <c r="M91"/>
  <c r="L91" s="1"/>
  <c r="M93"/>
  <c r="L93" s="1"/>
  <c r="M95"/>
  <c r="L95" s="1"/>
  <c r="M125"/>
  <c r="L125" s="1"/>
  <c r="M131"/>
  <c r="L131" s="1"/>
  <c r="M133"/>
  <c r="L133" s="1"/>
  <c r="M135"/>
  <c r="L135" s="1"/>
  <c r="M151"/>
  <c r="L151" s="1"/>
  <c r="M153"/>
  <c r="L153" s="1"/>
  <c r="M155"/>
  <c r="L155" s="1"/>
  <c r="M171"/>
  <c r="L171" s="1"/>
  <c r="M173"/>
  <c r="L173" s="1"/>
  <c r="M175"/>
  <c r="L175" s="1"/>
  <c r="M181"/>
  <c r="L181" s="1"/>
  <c r="M183"/>
  <c r="L183" s="1"/>
  <c r="M185"/>
  <c r="L185" s="1"/>
  <c r="M189"/>
  <c r="L189" s="1"/>
  <c r="M191"/>
  <c r="L191" s="1"/>
  <c r="M193"/>
  <c r="L193" s="1"/>
  <c r="M201"/>
  <c r="L201" s="1"/>
  <c r="M203"/>
  <c r="L203" s="1"/>
  <c r="M205"/>
  <c r="L205" s="1"/>
  <c r="M211"/>
  <c r="L211" s="1"/>
  <c r="M213"/>
  <c r="L213" s="1"/>
  <c r="M215"/>
  <c r="L215" s="1"/>
  <c r="M217"/>
  <c r="L217" s="1"/>
  <c r="M257"/>
  <c r="L257" s="1"/>
  <c r="M285"/>
  <c r="L285" s="1"/>
  <c r="M289"/>
  <c r="L289" s="1"/>
  <c r="M291"/>
  <c r="L291" s="1"/>
  <c r="M293"/>
  <c r="L293" s="1"/>
  <c r="M295"/>
  <c r="L295" s="1"/>
  <c r="M299"/>
  <c r="L299" s="1"/>
  <c r="M301"/>
  <c r="L301" s="1"/>
  <c r="M303"/>
  <c r="L303" s="1"/>
  <c r="M305"/>
  <c r="L305" s="1"/>
  <c r="M313"/>
  <c r="L313" s="1"/>
  <c r="M315"/>
  <c r="L315" s="1"/>
  <c r="M317"/>
  <c r="L317" s="1"/>
  <c r="M355"/>
  <c r="L355" s="1"/>
  <c r="M359"/>
  <c r="L359" s="1"/>
  <c r="M361"/>
  <c r="L361" s="1"/>
  <c r="M363"/>
  <c r="L363" s="1"/>
  <c r="M375"/>
  <c r="L375" s="1"/>
  <c r="M377"/>
  <c r="L377" s="1"/>
  <c r="M379"/>
  <c r="L379" s="1"/>
  <c r="M383"/>
  <c r="L383" s="1"/>
  <c r="M385"/>
  <c r="L385" s="1"/>
  <c r="M387"/>
  <c r="L387" s="1"/>
  <c r="M395"/>
  <c r="L395" s="1"/>
  <c r="M397"/>
  <c r="L397" s="1"/>
  <c r="M399"/>
  <c r="L399" s="1"/>
  <c r="M401"/>
  <c r="L401" s="1"/>
  <c r="M403"/>
  <c r="L403" s="1"/>
  <c r="M405"/>
  <c r="L405" s="1"/>
  <c r="M407"/>
  <c r="L407" s="1"/>
  <c r="M409"/>
  <c r="L409" s="1"/>
  <c r="M411"/>
  <c r="L411" s="1"/>
  <c r="M413"/>
  <c r="L413" s="1"/>
  <c r="M415"/>
  <c r="L415" s="1"/>
  <c r="M417"/>
  <c r="L417" s="1"/>
  <c r="M425"/>
  <c r="L425" s="1"/>
  <c r="M427"/>
  <c r="L427" s="1"/>
  <c r="M429"/>
  <c r="L429" s="1"/>
  <c r="M431"/>
  <c r="L431" s="1"/>
  <c r="M433"/>
  <c r="L433" s="1"/>
  <c r="M435"/>
  <c r="L435" s="1"/>
  <c r="M437"/>
  <c r="L437" s="1"/>
  <c r="M439"/>
  <c r="L439" s="1"/>
  <c r="M447"/>
  <c r="L447" s="1"/>
  <c r="M449"/>
  <c r="L449" s="1"/>
  <c r="M451"/>
  <c r="L451" s="1"/>
  <c r="M453"/>
  <c r="L453" s="1"/>
  <c r="M455"/>
  <c r="L455" s="1"/>
  <c r="M457"/>
  <c r="L457" s="1"/>
  <c r="M459"/>
  <c r="L459" s="1"/>
  <c r="M461"/>
  <c r="L461" s="1"/>
  <c r="M465"/>
  <c r="L465" s="1"/>
  <c r="M467"/>
  <c r="L467" s="1"/>
  <c r="M469"/>
  <c r="L469" s="1"/>
  <c r="M24"/>
  <c r="L24" s="1"/>
  <c r="M52"/>
  <c r="L52" s="1"/>
  <c r="M54"/>
  <c r="L54" s="1"/>
  <c r="M58"/>
  <c r="L58" s="1"/>
  <c r="M60"/>
  <c r="L60" s="1"/>
  <c r="M100"/>
  <c r="L100" s="1"/>
  <c r="M142"/>
  <c r="L142" s="1"/>
  <c r="M166"/>
  <c r="L166" s="1"/>
  <c r="M236"/>
  <c r="L236" s="1"/>
  <c r="M238"/>
  <c r="L238" s="1"/>
  <c r="M240"/>
  <c r="L240" s="1"/>
  <c r="M262"/>
  <c r="L262" s="1"/>
  <c r="M268"/>
  <c r="L268" s="1"/>
  <c r="M270"/>
  <c r="L270" s="1"/>
  <c r="M272"/>
  <c r="L272" s="1"/>
  <c r="M278"/>
  <c r="L278" s="1"/>
  <c r="M324"/>
  <c r="L324" s="1"/>
  <c r="M326"/>
  <c r="L326" s="1"/>
  <c r="M328"/>
  <c r="L328" s="1"/>
  <c r="M330"/>
  <c r="L330" s="1"/>
  <c r="M332"/>
  <c r="L332" s="1"/>
  <c r="M340"/>
  <c r="L340" s="1"/>
  <c r="M342"/>
  <c r="L342" s="1"/>
  <c r="M352"/>
  <c r="L352" s="1"/>
  <c r="M364"/>
  <c r="L364" s="1"/>
  <c r="M5"/>
  <c r="L5" s="1"/>
  <c r="M7"/>
  <c r="L7" s="1"/>
  <c r="M9"/>
  <c r="L9" s="1"/>
  <c r="M11"/>
  <c r="L11" s="1"/>
  <c r="M77"/>
  <c r="L77" s="1"/>
  <c r="M79"/>
  <c r="L79" s="1"/>
  <c r="M81"/>
  <c r="L81" s="1"/>
  <c r="M83"/>
  <c r="L83" s="1"/>
  <c r="M85"/>
  <c r="L85" s="1"/>
  <c r="M97"/>
  <c r="L97" s="1"/>
  <c r="M127"/>
  <c r="L127" s="1"/>
  <c r="M129"/>
  <c r="L129" s="1"/>
  <c r="M157"/>
  <c r="L157" s="1"/>
  <c r="M159"/>
  <c r="L159" s="1"/>
  <c r="M161"/>
  <c r="L161" s="1"/>
  <c r="M163"/>
  <c r="L163" s="1"/>
  <c r="M165"/>
  <c r="L165" s="1"/>
  <c r="M177"/>
  <c r="L177" s="1"/>
  <c r="M187"/>
  <c r="L187" s="1"/>
  <c r="M195"/>
  <c r="L195" s="1"/>
  <c r="M197"/>
  <c r="L197" s="1"/>
  <c r="M207"/>
  <c r="L207" s="1"/>
  <c r="M209"/>
  <c r="L209" s="1"/>
  <c r="M219"/>
  <c r="L219" s="1"/>
  <c r="M221"/>
  <c r="L221" s="1"/>
  <c r="M223"/>
  <c r="L223" s="1"/>
  <c r="M225"/>
  <c r="L225" s="1"/>
  <c r="M227"/>
  <c r="L227" s="1"/>
  <c r="M229"/>
  <c r="L229" s="1"/>
  <c r="M231"/>
  <c r="L231" s="1"/>
  <c r="M233"/>
  <c r="L233" s="1"/>
  <c r="M235"/>
  <c r="L235" s="1"/>
  <c r="M237"/>
  <c r="L237" s="1"/>
  <c r="M297"/>
  <c r="L297" s="1"/>
  <c r="M307"/>
  <c r="L307" s="1"/>
  <c r="M309"/>
  <c r="L309" s="1"/>
  <c r="M311"/>
  <c r="L311" s="1"/>
  <c r="M319"/>
  <c r="L319" s="1"/>
  <c r="M321"/>
  <c r="L321" s="1"/>
  <c r="M323"/>
  <c r="L323" s="1"/>
  <c r="M357"/>
  <c r="L357" s="1"/>
  <c r="M367"/>
  <c r="L367" s="1"/>
  <c r="M373"/>
  <c r="L373" s="1"/>
  <c r="M381"/>
  <c r="L381" s="1"/>
  <c r="M389"/>
  <c r="L389" s="1"/>
  <c r="M391"/>
  <c r="L391" s="1"/>
  <c r="M393"/>
  <c r="L393" s="1"/>
  <c r="M419"/>
  <c r="L419" s="1"/>
  <c r="M421"/>
  <c r="L421" s="1"/>
  <c r="M423"/>
  <c r="L423" s="1"/>
  <c r="M441"/>
  <c r="L441" s="1"/>
  <c r="M443"/>
  <c r="L443" s="1"/>
  <c r="M445"/>
  <c r="L445" s="1"/>
  <c r="M463"/>
  <c r="L463" s="1"/>
  <c r="M22"/>
  <c r="L22" s="1"/>
  <c r="M26"/>
  <c r="L26" s="1"/>
  <c r="M28"/>
  <c r="L28" s="1"/>
  <c r="M30"/>
  <c r="L30" s="1"/>
  <c r="M32"/>
  <c r="L32" s="1"/>
  <c r="M34"/>
  <c r="L34" s="1"/>
  <c r="M36"/>
  <c r="L36" s="1"/>
  <c r="M38"/>
  <c r="L38" s="1"/>
  <c r="M40"/>
  <c r="L40" s="1"/>
  <c r="M42"/>
  <c r="L42" s="1"/>
  <c r="M44"/>
  <c r="L44" s="1"/>
  <c r="M46"/>
  <c r="L46" s="1"/>
  <c r="M56"/>
  <c r="L56" s="1"/>
  <c r="M62"/>
  <c r="L62" s="1"/>
  <c r="M64"/>
  <c r="L64" s="1"/>
  <c r="M66"/>
  <c r="L66" s="1"/>
  <c r="M68"/>
  <c r="L68" s="1"/>
  <c r="M70"/>
  <c r="L70" s="1"/>
  <c r="M72"/>
  <c r="L72" s="1"/>
  <c r="M76"/>
  <c r="L76" s="1"/>
  <c r="M102"/>
  <c r="L102" s="1"/>
  <c r="M104"/>
  <c r="L104" s="1"/>
  <c r="M106"/>
  <c r="L106" s="1"/>
  <c r="M108"/>
  <c r="L108" s="1"/>
  <c r="M110"/>
  <c r="L110" s="1"/>
  <c r="M112"/>
  <c r="L112" s="1"/>
  <c r="M114"/>
  <c r="L114" s="1"/>
  <c r="M116"/>
  <c r="L116" s="1"/>
  <c r="M118"/>
  <c r="L118" s="1"/>
  <c r="M120"/>
  <c r="L120" s="1"/>
  <c r="M122"/>
  <c r="L122" s="1"/>
  <c r="M124"/>
  <c r="L124" s="1"/>
  <c r="M144"/>
  <c r="L144" s="1"/>
  <c r="M146"/>
  <c r="L146" s="1"/>
  <c r="M148"/>
  <c r="L148" s="1"/>
  <c r="M150"/>
  <c r="L150" s="1"/>
  <c r="M152"/>
  <c r="L152" s="1"/>
  <c r="M242"/>
  <c r="L242" s="1"/>
  <c r="M244"/>
  <c r="L244" s="1"/>
  <c r="M246"/>
  <c r="L246" s="1"/>
  <c r="M248"/>
  <c r="L248" s="1"/>
  <c r="M250"/>
  <c r="L250" s="1"/>
  <c r="M252"/>
  <c r="L252" s="1"/>
  <c r="M274"/>
  <c r="L274" s="1"/>
  <c r="M288"/>
  <c r="L288" s="1"/>
  <c r="M334"/>
  <c r="L334" s="1"/>
  <c r="M336"/>
  <c r="L336" s="1"/>
  <c r="M344"/>
  <c r="L344" s="1"/>
  <c r="M346"/>
  <c r="L346" s="1"/>
  <c r="M348"/>
  <c r="L348" s="1"/>
  <c r="M376"/>
  <c r="L376" s="1"/>
  <c r="M378"/>
  <c r="L378" s="1"/>
  <c r="M400"/>
  <c r="L400" s="1"/>
  <c r="M414"/>
  <c r="L414" s="1"/>
  <c r="M416"/>
  <c r="L416" s="1"/>
  <c r="M456"/>
  <c r="L456" s="1"/>
  <c r="M458"/>
  <c r="L458" s="1"/>
  <c r="M460"/>
  <c r="L460" s="1"/>
  <c r="M462"/>
  <c r="L462" s="1"/>
  <c r="M468"/>
  <c r="L468" s="1"/>
  <c r="M74"/>
  <c r="L74" s="1"/>
  <c r="M75"/>
  <c r="L75" s="1"/>
  <c r="M350"/>
  <c r="L350" s="1"/>
  <c r="M470" l="1"/>
</calcChain>
</file>

<file path=xl/sharedStrings.xml><?xml version="1.0" encoding="utf-8"?>
<sst xmlns="http://schemas.openxmlformats.org/spreadsheetml/2006/main" count="1414" uniqueCount="1122">
  <si>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</si>
  <si>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</si>
  <si>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</si>
  <si>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</si>
  <si>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</si>
  <si>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</si>
  <si>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</si>
  <si>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</si>
  <si>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</si>
  <si>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</si>
  <si>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</si>
  <si>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СТОИМОСТЬ, РУБ.</t>
  </si>
  <si>
    <t>Стоимость работ и услуг</t>
  </si>
  <si>
    <t>1.1.1.1</t>
  </si>
  <si>
    <t>Усиление фундаментов цементацией</t>
  </si>
  <si>
    <t>100 м3 фундамента</t>
  </si>
  <si>
    <t>1.1.1.4</t>
  </si>
  <si>
    <t>Устранение повреждений железобетонных фундаментов</t>
  </si>
  <si>
    <t>м3</t>
  </si>
  <si>
    <t>1.1.8</t>
  </si>
  <si>
    <t>Восстановление (ремонт)  решеток на  продухах  фундамента</t>
  </si>
  <si>
    <t>100 решеток</t>
  </si>
  <si>
    <t>1.1.9</t>
  </si>
  <si>
    <t>Восстановление (ремонт)  приямков</t>
  </si>
  <si>
    <t>кв.м. приямка</t>
  </si>
  <si>
    <t>1.1.10</t>
  </si>
  <si>
    <t>Восстановление (ремонт) отмостки</t>
  </si>
  <si>
    <t>100 м2 отмостки</t>
  </si>
  <si>
    <t>1.2.1.1.5.1</t>
  </si>
  <si>
    <t>Ремонт поверхности кирпичных стен с расшивкой швов и толщиной заделки до 1/2 кирпича</t>
  </si>
  <si>
    <t>100 м2 отремонтированной поверхности</t>
  </si>
  <si>
    <t>1.2.1.1.5.9</t>
  </si>
  <si>
    <t>Укрепление слабодержащихся кирпичей</t>
  </si>
  <si>
    <t>100 м2  отремонтированной поверхности</t>
  </si>
  <si>
    <t>1.2.1.2.1.1</t>
  </si>
  <si>
    <t>Заделка отверстий в бетонных и железобетонных стенах и перегородках с площадью отверстий до 0,1 кв.м и глубиной до 100 мм</t>
  </si>
  <si>
    <t>100 отверстий</t>
  </si>
  <si>
    <t>1.2.1.2.1.2</t>
  </si>
  <si>
    <t>Заделка отверстий в бетонных и железобетонных стенах и перегородках с площадью отверстий до 0,1 кв.м и глубиной до 150 мм</t>
  </si>
  <si>
    <t>1.2.1.2.1.3</t>
  </si>
  <si>
    <t>Заделка отверстий в бетонных и железобетонных стенах и перегородках с площадью отверстий до 0,2 кв.м и глубиной до 100 мм</t>
  </si>
  <si>
    <t>1.2.1.2.1.4</t>
  </si>
  <si>
    <t>Заделка отверстий в бетонных и железобетонных стенах и перегородках с площадью отверстий до 0,2 кв.м и глубиной до 150 мм</t>
  </si>
  <si>
    <t>1.2.9.4.3</t>
  </si>
  <si>
    <t>Ремонт обыкновенной штукатурки  фасадов каменных стен с прорезкой рустов</t>
  </si>
  <si>
    <t>1.2.12.1.1</t>
  </si>
  <si>
    <t>Известковое окрашивание оштукатуренных гладких фасадов</t>
  </si>
  <si>
    <t>100 м2 обработанной поверхности</t>
  </si>
  <si>
    <t>1.2.12.4.1</t>
  </si>
  <si>
    <t>Окрашивание гладких кирпичных фасадов силикатными красками</t>
  </si>
  <si>
    <t>1.2.17.2</t>
  </si>
  <si>
    <t>Известковая окраска ранее окрашенных поверхностей стен</t>
  </si>
  <si>
    <t>100 м2 окрашенной поверхности</t>
  </si>
  <si>
    <t>1.2.17.3.1</t>
  </si>
  <si>
    <t>Простая масляная окраска ранее окрашенных поверхностей</t>
  </si>
  <si>
    <t>1.2.17.3.2</t>
  </si>
  <si>
    <t>Улучшенная масляная окраска ранее окрашенных поверхностей</t>
  </si>
  <si>
    <t>1.2.18.1</t>
  </si>
  <si>
    <t>Ремонт внутренней штукатурки потолков отдельными местами</t>
  </si>
  <si>
    <t>100 кв. м</t>
  </si>
  <si>
    <t>1.2.18.4</t>
  </si>
  <si>
    <t>Простая клеевая окраска потолков</t>
  </si>
  <si>
    <t>1.2.18.5</t>
  </si>
  <si>
    <t>Улучшенная клеевая окраска потолков</t>
  </si>
  <si>
    <t>1.2.18.6</t>
  </si>
  <si>
    <t>Известковая окраска ранее окрашенных поверхностей потолков</t>
  </si>
  <si>
    <t>100 кв.м</t>
  </si>
  <si>
    <t>1.2.18.7</t>
  </si>
  <si>
    <t>Простая масляная окраска ранее окрашенных потолков</t>
  </si>
  <si>
    <t>1.2.18.8</t>
  </si>
  <si>
    <t>Улучшенная масляная окраска ранее окрашенных потолков</t>
  </si>
  <si>
    <t>1.2.19</t>
  </si>
  <si>
    <t>Установка групповых металлических почтовых ящиков на 6 отделений</t>
  </si>
  <si>
    <t>1 ящик</t>
  </si>
  <si>
    <t>1.4.1.2</t>
  </si>
  <si>
    <t>Восстановление козырьков</t>
  </si>
  <si>
    <t>кв.м.</t>
  </si>
  <si>
    <t>1.4.2</t>
  </si>
  <si>
    <t>Восстановление организованного отвода воды с балконов, лоджий, козырьков и эркеров</t>
  </si>
  <si>
    <t>100 кв.м. фасадов</t>
  </si>
  <si>
    <t>1.4.4.1</t>
  </si>
  <si>
    <t>Восстановление ограждающих решеток</t>
  </si>
  <si>
    <t>1 м. решетки</t>
  </si>
  <si>
    <t>1.4.5.3</t>
  </si>
  <si>
    <t>Простая масляная окраска элементов балконов, лоджий, эркеров и козырьков с лестниц</t>
  </si>
  <si>
    <t>100 кв.м.</t>
  </si>
  <si>
    <t>1.6.2.1</t>
  </si>
  <si>
    <t>Ремонт покрытия полов из керамических плиток до 10 шт. размерами 300 мм*300 мм</t>
  </si>
  <si>
    <t>10 плиток</t>
  </si>
  <si>
    <t>1.6.2.2</t>
  </si>
  <si>
    <t>Ремонт покрытия полов из линолеума</t>
  </si>
  <si>
    <t>м2 отремонтированного пола</t>
  </si>
  <si>
    <t>1.6.4.4</t>
  </si>
  <si>
    <t>Ремонт бетонных полов</t>
  </si>
  <si>
    <t>1.6.4.5</t>
  </si>
  <si>
    <t>Ремонт поверхности цементных полов</t>
  </si>
  <si>
    <t>1.6.4.6</t>
  </si>
  <si>
    <t>Выравнивание поверхности бетонных и цементных оснований под полы</t>
  </si>
  <si>
    <t>100 м2</t>
  </si>
  <si>
    <t>1.7.5.1</t>
  </si>
  <si>
    <t>Восстановление облицовки перегородок из керамических плиток со сменой плиток в одном месте до 10 штук</t>
  </si>
  <si>
    <t>100 плиток</t>
  </si>
  <si>
    <t>1.7.5.2</t>
  </si>
  <si>
    <t>Восстановление облицовки перегородок из керамических плиток со сменой плиток в одном месте более 10 штук</t>
  </si>
  <si>
    <t>1.7.5.5</t>
  </si>
  <si>
    <t>Восстановление (ремонт) штукатурки кирпичных, железобетонных и гипсокартонных перегородок известковым раствором площадью отдельных мест до 1 кв.м.</t>
  </si>
  <si>
    <t>1.8.1.1.1</t>
  </si>
  <si>
    <t>Смена поврежденных листов асбоцементных кровель</t>
  </si>
  <si>
    <t>100 м2 сменяемого покрытия</t>
  </si>
  <si>
    <t>1.8.1.2.1</t>
  </si>
  <si>
    <t>Постановка заплат на покрытия из кровельной стали, при размере заплат 1/4 листа</t>
  </si>
  <si>
    <t>100 заплат</t>
  </si>
  <si>
    <t>1.8.1.2.2</t>
  </si>
  <si>
    <t>Постановка заплат на покрытия из кровельной стали, при размере заплат 1/2 листа</t>
  </si>
  <si>
    <t>1.8.1.2.4</t>
  </si>
  <si>
    <t>Промазка свищей в покрытии из кровельной стали</t>
  </si>
  <si>
    <t>1000 свищей</t>
  </si>
  <si>
    <t>1.8.1.3.1</t>
  </si>
  <si>
    <t>Постановка заплат на покрытия из мягкой кровли</t>
  </si>
  <si>
    <t>100 м2 покрытий</t>
  </si>
  <si>
    <t>1.8.6.1</t>
  </si>
  <si>
    <t>Смена вентиляционной решетки</t>
  </si>
  <si>
    <t>10 решеток</t>
  </si>
  <si>
    <t>1.8.6.2</t>
  </si>
  <si>
    <t>Ремонт продухов вентиляции</t>
  </si>
  <si>
    <t>1.8.6.3</t>
  </si>
  <si>
    <t>Окраска продухов вентиляции</t>
  </si>
  <si>
    <t>1.8.7.6</t>
  </si>
  <si>
    <t>Оштукатуривание поверхности дымовых труб</t>
  </si>
  <si>
    <t xml:space="preserve">100 м2 поверхности </t>
  </si>
  <si>
    <t>1.8.8.1</t>
  </si>
  <si>
    <t>Смена  дефлектора</t>
  </si>
  <si>
    <t>100 дефлекторов</t>
  </si>
  <si>
    <t>1.8.8.2</t>
  </si>
  <si>
    <t>Окрашивание дефлектора спецсоставом с алюминиевой пудрой</t>
  </si>
  <si>
    <t>100  м2 окрашиваемой поверхности</t>
  </si>
  <si>
    <t>1.8.9.1</t>
  </si>
  <si>
    <t>Окраска масляными составами ранее окрашенных металлических лестниц и дверей на крышу за 1 раз</t>
  </si>
  <si>
    <t>1.8.9.2</t>
  </si>
  <si>
    <t>Окраска деревянных лестниц и  дверей выхода на крышу</t>
  </si>
  <si>
    <t>1.8.9.3</t>
  </si>
  <si>
    <t>1.8.9.4</t>
  </si>
  <si>
    <t>Ремонт обыкновенной штукатурки гладких каменных фасадов отдельными местами</t>
  </si>
  <si>
    <t>1.8.10.1</t>
  </si>
  <si>
    <t>Смена покрытия  парапетов или брандмауэров без обделки боковых сторон при ширине покрытия до 1 м</t>
  </si>
  <si>
    <t>100 м</t>
  </si>
  <si>
    <t>1.8.10.2</t>
  </si>
  <si>
    <t>Смена покрытия  парапетов или брандмауэров с обделкой боковых сторон при ширине покрытия до 1,75 м.</t>
  </si>
  <si>
    <t>1.8.10.3</t>
  </si>
  <si>
    <t>Смена покрытия   зонтов и козырьков над крыльцами и подъездами</t>
  </si>
  <si>
    <t>100 м2 объема работ</t>
  </si>
  <si>
    <t>1.8.10.5</t>
  </si>
  <si>
    <t>Масляная окраска  парапетов, архитектурных деталей</t>
  </si>
  <si>
    <t>1.8.11.1</t>
  </si>
  <si>
    <t>Ремонт водосточных труб с земли и подмостей</t>
  </si>
  <si>
    <t>100 м трубы</t>
  </si>
  <si>
    <t>1.8.11.2</t>
  </si>
  <si>
    <t>Ремонт водосточных труб с люлек</t>
  </si>
  <si>
    <t>1.8.11.3</t>
  </si>
  <si>
    <t>Смена прямых звеньев водосточных труб</t>
  </si>
  <si>
    <t>1.8.11.4</t>
  </si>
  <si>
    <t>Смена воронок</t>
  </si>
  <si>
    <t>100 шт.</t>
  </si>
  <si>
    <t>1.8.11.8</t>
  </si>
  <si>
    <t>Масляная окраска  водосточных труб</t>
  </si>
  <si>
    <t>1.8.12.1</t>
  </si>
  <si>
    <t>Смена обделок примыканий из листовой стали к каменным стенам</t>
  </si>
  <si>
    <t>1.8.12.3</t>
  </si>
  <si>
    <t>Смена обделок примыканий из листовой стали к  дымовым трубам</t>
  </si>
  <si>
    <t>100 труб</t>
  </si>
  <si>
    <t>1.8.12.4</t>
  </si>
  <si>
    <t>Смена обделок примыканий из листовой стали к  вытяжным  трубам длиной до 1 м</t>
  </si>
  <si>
    <t>1.8.13.1</t>
  </si>
  <si>
    <t>Масляная окраска ранее окрашенных поверхностей</t>
  </si>
  <si>
    <t>1.8.13.3</t>
  </si>
  <si>
    <t>Замена обивки дверей стальным листом</t>
  </si>
  <si>
    <t>100  м2 двери</t>
  </si>
  <si>
    <t>1.9.1.4</t>
  </si>
  <si>
    <t>Ремонт дверных коробок в узких каменных стенах</t>
  </si>
  <si>
    <t>10 коробок</t>
  </si>
  <si>
    <t>1.9.1.6</t>
  </si>
  <si>
    <t>Ремонт дверных коробок в широких каменных стенах</t>
  </si>
  <si>
    <t>1.9.1.8</t>
  </si>
  <si>
    <t>Ремонт порогов шириной 100 мм</t>
  </si>
  <si>
    <t>100 отремонтированных мест</t>
  </si>
  <si>
    <t>1.9.1.9</t>
  </si>
  <si>
    <t>Ремонт порогов шириной 150 мм</t>
  </si>
  <si>
    <t>1.9.1.10</t>
  </si>
  <si>
    <t>Смена дверных петель при одной сменяемой петле в полотне</t>
  </si>
  <si>
    <t>10 петель</t>
  </si>
  <si>
    <t>1.9.1.11</t>
  </si>
  <si>
    <t>Смена дверных петель при двух сменяемых петлях в полотне</t>
  </si>
  <si>
    <t>1.9.1.12</t>
  </si>
  <si>
    <t>Смена наличников дверных проемов из мягкой древесины с укреплением гвоздями</t>
  </si>
  <si>
    <t>1 п.м. наличника</t>
  </si>
  <si>
    <t>1.9.1.15</t>
  </si>
  <si>
    <t>Укрепление наличников дверных проемов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</si>
  <si>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</si>
  <si>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</si>
  <si>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</si>
  <si>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</si>
  <si>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</si>
  <si>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</si>
  <si>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1.9.1.18</t>
  </si>
  <si>
    <t>Смена щеколды</t>
  </si>
  <si>
    <t>100 щеколд</t>
  </si>
  <si>
    <t>1.9.1.19</t>
  </si>
  <si>
    <t>Смена замков накладных</t>
  </si>
  <si>
    <t>100 замков</t>
  </si>
  <si>
    <t>1.9.1.20</t>
  </si>
  <si>
    <t>Смена замков врезных</t>
  </si>
  <si>
    <t>1.9.1.21</t>
  </si>
  <si>
    <t>Восстановление (модернизация) остекления дверей</t>
  </si>
  <si>
    <t>1.9.1.22</t>
  </si>
  <si>
    <t>Простая масляная окраска дверей</t>
  </si>
  <si>
    <t>1.9.1.23</t>
  </si>
  <si>
    <t>Улучшенная масляная окраска дверей</t>
  </si>
  <si>
    <t>1.9.1.24</t>
  </si>
  <si>
    <t>Установка дверного доводчика к металлическим дверям</t>
  </si>
  <si>
    <t>1 доводчик</t>
  </si>
  <si>
    <t>1.9.1.26</t>
  </si>
  <si>
    <t>Установка дверей и заслонок в проемах подвальных и чердачных помещений</t>
  </si>
  <si>
    <t>1 полотно</t>
  </si>
  <si>
    <t>1.9.2.5</t>
  </si>
  <si>
    <t>Ремонт оконных переплетов узких одинарных коробок со спаренными переплетами</t>
  </si>
  <si>
    <t>10 створок</t>
  </si>
  <si>
    <t>1.9.2.6</t>
  </si>
  <si>
    <t>Ремонт оконных переплетов широких составных коробок</t>
  </si>
  <si>
    <t>1.9.2.8</t>
  </si>
  <si>
    <t>Ремонт форточек</t>
  </si>
  <si>
    <t>10 форточек</t>
  </si>
  <si>
    <t>1.9.2.9</t>
  </si>
  <si>
    <t>Ремонт подоконных досок</t>
  </si>
  <si>
    <t>1 м подоконной доски</t>
  </si>
  <si>
    <t>1.9.2.10</t>
  </si>
  <si>
    <t>Смена оконных петель при одной сменяемой петле в створке</t>
  </si>
  <si>
    <t>1.9.2.11</t>
  </si>
  <si>
    <t>Смена оконных петель при двух сменяемых петлях в створке</t>
  </si>
  <si>
    <t>1.9.2.15</t>
  </si>
  <si>
    <t>Укрепление наличников оконных проемов</t>
  </si>
  <si>
    <t>1.9.2.22</t>
  </si>
  <si>
    <t>Временная замена разбитого стекла фанерой</t>
  </si>
  <si>
    <t>10 кв.м.</t>
  </si>
  <si>
    <t>1.9.2.23</t>
  </si>
  <si>
    <t>Смена ручки оконной</t>
  </si>
  <si>
    <t>100 ручек</t>
  </si>
  <si>
    <t>1.9.2.24</t>
  </si>
  <si>
    <t>Смена задвижки</t>
  </si>
  <si>
    <t>100 задвижек</t>
  </si>
  <si>
    <t>1.9.2.25</t>
  </si>
  <si>
    <t>Простая масляная окраска оконных рам</t>
  </si>
  <si>
    <t>1.9.2.26</t>
  </si>
  <si>
    <t>Улучшенная масляная окраска оконных рам</t>
  </si>
  <si>
    <t>1.9.2.27</t>
  </si>
  <si>
    <t>Установка водоотливов с высотой проемов до 1 м</t>
  </si>
  <si>
    <t>100 кв.м. проемов</t>
  </si>
  <si>
    <t>1.9.2.28</t>
  </si>
  <si>
    <t>Установка водоотливов с высотой проемов 1-2 м</t>
  </si>
  <si>
    <t>1.9.2.30</t>
  </si>
  <si>
    <t>Замена негодных деревянных жалюзей слуховых окон с изготовлением их</t>
  </si>
  <si>
    <t>1 штука</t>
  </si>
  <si>
    <t>1.9.2.31</t>
  </si>
  <si>
    <t>Малый ремонт слухового окна с исправлением обшивки и переплета</t>
  </si>
  <si>
    <t>1 место</t>
  </si>
  <si>
    <t>1.9.3.1</t>
  </si>
  <si>
    <t>Замена одностворных дверей на врезных шпонках</t>
  </si>
  <si>
    <t>1.9.3.2</t>
  </si>
  <si>
    <t>Замена двустворных дверей на врезных шпонках</t>
  </si>
  <si>
    <t>1.9.3.3</t>
  </si>
  <si>
    <t>Замена одностворных дверей на планках</t>
  </si>
  <si>
    <t>1.9.3.4</t>
  </si>
  <si>
    <t>Замена двустворных дверей на планках</t>
  </si>
  <si>
    <t>1.9.4.1</t>
  </si>
  <si>
    <t>Смена створок оконных переплетов узких одинарных коробок</t>
  </si>
  <si>
    <t>1 створка</t>
  </si>
  <si>
    <t>1.9.4.2</t>
  </si>
  <si>
    <t>Смена створок оконных переплетов узких одинарных коробок со спаренными переплетами</t>
  </si>
  <si>
    <t>1.9.4.3</t>
  </si>
  <si>
    <t>Смена створок оконных переплетов широких составных коробок</t>
  </si>
  <si>
    <t>1.9.4.4</t>
  </si>
  <si>
    <t>Установка в жилых зданиях блоков оконных с переплетами спаренными в стенах деревянных рубленых площадью проема до 2 кв.м.</t>
  </si>
  <si>
    <t>100 м2 проемов</t>
  </si>
  <si>
    <t>1.9.5.1</t>
  </si>
  <si>
    <t>Обивка дверей теплоизолирующим материалом</t>
  </si>
  <si>
    <t>100 кв.м. двери</t>
  </si>
  <si>
    <t>1.9.5.2</t>
  </si>
  <si>
    <t>Проконопачивание и укрепление дверных коробок</t>
  </si>
  <si>
    <t>100 коробок</t>
  </si>
  <si>
    <t>1.9.5.3</t>
  </si>
  <si>
    <t>Обивка дверей оцинкованной кровельной сталью</t>
  </si>
  <si>
    <t>1.9.6.1</t>
  </si>
  <si>
    <t>Восстановление (ремонт) дверных и оконных откосов в каменных стенах</t>
  </si>
  <si>
    <t>1 кв.м. откоса</t>
  </si>
  <si>
    <t>1.9.6.2</t>
  </si>
  <si>
    <t>Восстановление (ремонт) штукатурки откосов каменных, блочных и крупнопанельных домов внутри здания</t>
  </si>
  <si>
    <t>100 кв.м. откосов</t>
  </si>
  <si>
    <t>1.10.1.1</t>
  </si>
  <si>
    <t>Ремонт металлических косоуров  с применением дуговой сварки</t>
  </si>
  <si>
    <t>1 балка</t>
  </si>
  <si>
    <t>1.10.1.2</t>
  </si>
  <si>
    <t>Оштукатуривание металлических косоуров</t>
  </si>
  <si>
    <t>100 м2 оштукатуренной поверхности</t>
  </si>
  <si>
    <t>1.10.3.1</t>
  </si>
  <si>
    <t>Ремонт металлических лестничных решеток</t>
  </si>
  <si>
    <t>100 м решетки</t>
  </si>
  <si>
    <t>1.10.3.2</t>
  </si>
  <si>
    <t>Укрепление стоек металлических решеток ограждения  лестниц и площадок</t>
  </si>
  <si>
    <t>100 укрепляемых  стоек</t>
  </si>
  <si>
    <t>1.10.4.1.1</t>
  </si>
  <si>
    <t>Смена прямых  частей поручней</t>
  </si>
  <si>
    <t>1.10.4.1.2</t>
  </si>
  <si>
    <t>Смена закругленных  частей поручней</t>
  </si>
  <si>
    <t>1.10.4.2</t>
  </si>
  <si>
    <t>Изготовление прямых частей  поручня</t>
  </si>
  <si>
    <t>1.10.4.3</t>
  </si>
  <si>
    <t>Изготовление  закруглений с марша на марш</t>
  </si>
  <si>
    <t>1.10.4.4</t>
  </si>
  <si>
    <t>Изготовление  закруглений с марша на площадку</t>
  </si>
  <si>
    <t>1.10.4.5</t>
  </si>
  <si>
    <t>Постановка заделок в тело поручней</t>
  </si>
  <si>
    <t>100 заделок</t>
  </si>
  <si>
    <t>1.10.5.1</t>
  </si>
  <si>
    <t>Окраска масляными составами ранее окрашенных металлических решеток  без рельефа за 1 раз</t>
  </si>
  <si>
    <t xml:space="preserve"> 100 м2 окрашиваемой поверхности</t>
  </si>
  <si>
    <t>1.10.5.2</t>
  </si>
  <si>
    <t>Окраска масляными составами ранее окрашенных металлических решеток без рельефа за 2 раза</t>
  </si>
  <si>
    <t>1.10.6.1</t>
  </si>
  <si>
    <t>Заделка трещин и мелких выбоин</t>
  </si>
  <si>
    <t>100 мест</t>
  </si>
  <si>
    <t>1.10.6.2</t>
  </si>
  <si>
    <t>Заделка отбитых мест</t>
  </si>
  <si>
    <t>1.10.7.3</t>
  </si>
  <si>
    <t>Заделка выбоин в каменных ступенях</t>
  </si>
  <si>
    <t>100 м2 заделанной поверхности</t>
  </si>
  <si>
    <t>2.1.1.1</t>
  </si>
  <si>
    <t>Ремонт стального водогрейного котла мощностью до 0,55 Гкал/ч</t>
  </si>
  <si>
    <t>котел</t>
  </si>
  <si>
    <t>2.1.1.2</t>
  </si>
  <si>
    <t>Замена горелок</t>
  </si>
  <si>
    <t>2.1.1.5</t>
  </si>
  <si>
    <t>Прочистка секций котла</t>
  </si>
  <si>
    <t>2.1.2.2.1</t>
  </si>
  <si>
    <t>Смена отдельных участков трубопроводов из стальных электросварных труб  диаметром 40 мм</t>
  </si>
  <si>
    <t>100 м трубопровода</t>
  </si>
  <si>
    <t>2.1.2.2.2</t>
  </si>
  <si>
    <t>Смена отдельных участков трубопроводов из стальных электросварных труб   диаметром 50 мм</t>
  </si>
  <si>
    <t>2.1.2.2.3</t>
  </si>
  <si>
    <t>Смена отдельных участков трубопроводов из стальных электросварных труб   диаметром 65 мм</t>
  </si>
  <si>
    <t>2.1.2.2.4</t>
  </si>
  <si>
    <t>Смена отдельных участков трубопроводов из стальных электросварных труб   диаметром  80 мм</t>
  </si>
  <si>
    <t>2.1.2.2.5</t>
  </si>
  <si>
    <t>Смена отдельных участков трубопроводов из стальных электросварных труб диаметром 100 мм</t>
  </si>
  <si>
    <t>2.1.2.2.6</t>
  </si>
  <si>
    <t>Смена отдельных участков трубопроводов из стальных электросварных труб диаметром 125 мм</t>
  </si>
  <si>
    <t>2.1.2.2.7</t>
  </si>
  <si>
    <t>Смена отдельных участков трубопроводов из стальных электросварных труб диаметром 150 мм</t>
  </si>
  <si>
    <t>2.1.2.3.1</t>
  </si>
  <si>
    <t>Модернизация внутридомовых тепловых сетей путем замены на трубопроводы из многослойных металл-полимерных труб при стояковой системе отопления диаметром до 20 мм</t>
  </si>
  <si>
    <t>пог.м.</t>
  </si>
  <si>
    <t>2.1.2.3.2</t>
  </si>
  <si>
    <t>Модернизация внутридомовых тепловых сетей путем замены на трубопроводы из многослойных металл-полимерных труб при стояковой системе отопления диаметром до 25 мм</t>
  </si>
  <si>
    <t>2.1.2.3.3</t>
  </si>
  <si>
    <t>Модернизация внутридомовых тепловых сетей путем замены на трубопроводы из многослойных металл-полимерных труб при стояковой системе отопления диаметром до 32 мм</t>
  </si>
  <si>
    <t>2.1.3.1.2</t>
  </si>
  <si>
    <t>Смена радиаторных блоков, вес радиаторного блока до 80 кг</t>
  </si>
  <si>
    <t>100 радиаторных блоков</t>
  </si>
  <si>
    <t>2.1.3.1.3</t>
  </si>
  <si>
    <t>Смена радиаторных блоков, вес радиаторного блока свыше 80 до 160 кг</t>
  </si>
  <si>
    <t>2.1.3.4.1</t>
  </si>
  <si>
    <t>Добавление секций к алюминиевому радиаторному блоку</t>
  </si>
  <si>
    <t>100 секций</t>
  </si>
  <si>
    <t>2.1.3.4.2</t>
  </si>
  <si>
    <t>Добавление секций к чугунному радиаторному блоку</t>
  </si>
  <si>
    <t>2.1.5.1</t>
  </si>
  <si>
    <t>Утепление трубопровода центрального отопления (водоснабжения)</t>
  </si>
  <si>
    <t>100 м2 утепленного участка</t>
  </si>
  <si>
    <t>2.1.5.3.1</t>
  </si>
  <si>
    <t>Восстановление разрушенной тепловой изоляции шнуром асбестовым</t>
  </si>
  <si>
    <t>100 м2 восстановленного участка</t>
  </si>
  <si>
    <t>2.1.5.3.2</t>
  </si>
  <si>
    <t>Восстановление разрушенной тепловой изоляции шнуром минераловатным</t>
  </si>
  <si>
    <t>2.1.5.3.3</t>
  </si>
  <si>
    <t>Восстановление разрушенной тепловой изоляции минераловатными матами</t>
  </si>
  <si>
    <t>2.1.6.1</t>
  </si>
  <si>
    <t>Ремонт прибора учета</t>
  </si>
  <si>
    <t>прибор</t>
  </si>
  <si>
    <t>2.1.6.2</t>
  </si>
  <si>
    <t>Замена прибора учета</t>
  </si>
  <si>
    <t>2.1.7.1</t>
  </si>
  <si>
    <t>Ремонт элеваторного узла с выходным проходом 50 мм</t>
  </si>
  <si>
    <t>1 узел</t>
  </si>
  <si>
    <t>2.1.7.2</t>
  </si>
  <si>
    <t>Ремонт элеваторного узла с выходным проходом 80 мм</t>
  </si>
  <si>
    <t>узел</t>
  </si>
  <si>
    <t>2.1.7.3</t>
  </si>
  <si>
    <t>Ремонт элеваторного узла с выходным проходом 100 мм</t>
  </si>
  <si>
    <t>2.1.7.4</t>
  </si>
  <si>
    <t>Замена элеватора № 1-5</t>
  </si>
  <si>
    <t>2.1.7.5</t>
  </si>
  <si>
    <t>Замена элеватора № 6-7</t>
  </si>
  <si>
    <t>2.1.8.1</t>
  </si>
  <si>
    <t>Ремонт центробежных насосов</t>
  </si>
  <si>
    <t>насос</t>
  </si>
  <si>
    <t>2.1.8.3.1</t>
  </si>
  <si>
    <t>Ремонт насосов малой мощности, диаметр патрубка 25 мм</t>
  </si>
  <si>
    <t>100 насосов</t>
  </si>
  <si>
    <t>2.1.8.3.2</t>
  </si>
  <si>
    <t>Ремонт насосов малой мощности, диаметр патрубка 40 мм</t>
  </si>
  <si>
    <t>2.1.8.3.3</t>
  </si>
  <si>
    <t>Ремонт насосов малой мощности, диаметр патрубка 50 мм</t>
  </si>
  <si>
    <t>2.1.8.4.1</t>
  </si>
  <si>
    <t>Смена параллельной задвижки,  диаметром до 100 мм</t>
  </si>
  <si>
    <t>2.1.8.4.2</t>
  </si>
  <si>
    <t>Смена параллельной задвижки,  диаметром до 150 мм</t>
  </si>
  <si>
    <t>2.1.8.4.3</t>
  </si>
  <si>
    <t>Смена параллельной задвижки,  диаметром до 200 мм</t>
  </si>
  <si>
    <t>2.1.8.5.1</t>
  </si>
  <si>
    <t>Снятие, прочистка и установка параллельной задвижки диаметром  100 мм</t>
  </si>
  <si>
    <t>2.1.8.5.2</t>
  </si>
  <si>
    <t>Снятие, прочистка и установка параллельной задвижки диаметром  150 мм</t>
  </si>
  <si>
    <t>2.1.8.6.1</t>
  </si>
  <si>
    <t>Смена кранов двойной регулировки диаметром прохода 15 мм</t>
  </si>
  <si>
    <t>100 кранов</t>
  </si>
  <si>
    <t>2.1.8.6.2</t>
  </si>
  <si>
    <t>Смена кранов двойной регулировки диаметром прохода 19 мм</t>
  </si>
  <si>
    <t>2.1.8.6.3</t>
  </si>
  <si>
    <t>Смена кранов двойной регулировки диаметром прохода 32 мм</t>
  </si>
  <si>
    <t>2.1.8.8.1</t>
  </si>
  <si>
    <t>Смена вентиля диаметром до 25 мм</t>
  </si>
  <si>
    <t>100 вентилей</t>
  </si>
  <si>
    <t>2.1.8.8.2</t>
  </si>
  <si>
    <t>Смена вентиля диаметром 25 мм</t>
  </si>
  <si>
    <t>2.1.8.8.3</t>
  </si>
  <si>
    <t>Смена вентиля диаметром свыше 26 до 50  мм</t>
  </si>
  <si>
    <t>2.1.8.9.1</t>
  </si>
  <si>
    <t>Установка кранов для спуска воздуха из системы, диаметр крана 15-20 мм</t>
  </si>
  <si>
    <t>2.1.8.9.2</t>
  </si>
  <si>
    <t>Установка кранов для спуска воздуха из системы, диаметр крана 21-25 мм</t>
  </si>
  <si>
    <t>2.1.9.1.1</t>
  </si>
  <si>
    <t xml:space="preserve">Установка линейных балансировочных вентилей и балансировка системы отопления, диаметром до 20 мм </t>
  </si>
  <si>
    <t>1 прибор</t>
  </si>
  <si>
    <t>2.1.9.1.3</t>
  </si>
  <si>
    <t>Установка линейных балансировочных вентилей и балансировка системы отопления, диаметром до 32 мм</t>
  </si>
  <si>
    <t>2.1.9.1.4</t>
  </si>
  <si>
    <t>Установка линейных балансировочных вентилей и балансировка системы отопления, диаметром до 40 мм</t>
  </si>
  <si>
    <t>2.1.9.1.5</t>
  </si>
  <si>
    <t>Установка линейных балансировочных вентилей и балансировка системы отопления, диаметром до 50 мм</t>
  </si>
  <si>
    <t>2.1.9.2.1</t>
  </si>
  <si>
    <t>Установка прибора учета тепловой энергии, горячей воды, диаметром до 50 мм</t>
  </si>
  <si>
    <t>2.1.9.2.2</t>
  </si>
  <si>
    <t>Установка прибора учета тепловой энергии, горячей воды, диаметром 50-100 мм</t>
  </si>
  <si>
    <t>2.2.1.1.1</t>
  </si>
  <si>
    <t>Смена отдельных участков трубопроводов  водоснабжения из стальных водогазопроводных оцинкованных труб диаметром  15 мм</t>
  </si>
  <si>
    <t>100 м трубопроводов</t>
  </si>
  <si>
    <t>2.2.1.1.2</t>
  </si>
  <si>
    <t>Смена отдельных участков трубопроводов   водоснабжения из стальных водогазопроводных оцинкованных труб диаметром  20 мм</t>
  </si>
  <si>
    <t>2.2.1.1.3</t>
  </si>
  <si>
    <t>Смена отдельных участков трубопроводов водоснабжения из стальных водогазопроводных оцинкованных труб диаметром  25 мм</t>
  </si>
  <si>
    <t>2.2.1.1.4</t>
  </si>
  <si>
    <t>Смена отдельных участков трубопроводов водоснабжения из стальных водогазопроводных оцинкованных труб диаметром 32 мм</t>
  </si>
  <si>
    <t>2.2.1.1.5</t>
  </si>
  <si>
    <t>Смена отдельных участков трубопроводов  водоснабжения из стальных водогазопроводных оцинкованных труб диаметром 40 мм</t>
  </si>
  <si>
    <t>2.2.1.1.6</t>
  </si>
  <si>
    <t>Смена отдельных участков трубопроводов  водоснабжения из стальных водогазопроводных оцинкованных труб диаметром 50 мм</t>
  </si>
  <si>
    <t>2.2.1.1.7</t>
  </si>
  <si>
    <t>Смена отдельных участков трубопроводов  водоснабжения из стальных водогазопроводных оцинкованных труб диаметром 65 мм</t>
  </si>
  <si>
    <t>2.2.1.1.8</t>
  </si>
  <si>
    <t>Смена отдельных участков трубопроводов водоснабжения из стальных водогазопроводных оцинкованных труб диаметром 80 мм</t>
  </si>
  <si>
    <t>2.2.1.2.1</t>
  </si>
  <si>
    <t>Смена отдельных участков трубопроводов водоснабжения из стальных водогазопроводных оцинкованных труб диаметром 40 мм</t>
  </si>
  <si>
    <t>2.2.1.2.2</t>
  </si>
  <si>
    <t>2.2.1.2.3</t>
  </si>
  <si>
    <t>2.2.1.2.4</t>
  </si>
  <si>
    <t>Смена отдельных участков трубопроводов  водоснабжения из стальных водогазопроводных оцинкованных труб диаметром 80 мм</t>
  </si>
  <si>
    <t>2.2.1.3.1</t>
  </si>
  <si>
    <t>Смена отдельных участков трубопроводов  водоснабжения из стальных электросварных труб диаметром 40 мм</t>
  </si>
  <si>
    <t>2.2.1.3.2</t>
  </si>
  <si>
    <t>Смена отдельных участков трубопроводов  водоснабжения из стальных электросварных труб диаметром 50 мм</t>
  </si>
  <si>
    <t>2.2.1.3.3</t>
  </si>
  <si>
    <t>Смена отдельных участков трубопроводов водоснабжения из стальных электросварных труб диаметром 65 мм</t>
  </si>
  <si>
    <t>2.2.1.3.4</t>
  </si>
  <si>
    <t>Смена отдельных участков трубопроводов  водоснабжения из стальных электросварных труб диаметром 80 мм</t>
  </si>
  <si>
    <t>2.2.1.5.1</t>
  </si>
  <si>
    <t>Замена внутренних водопроводов из стальных труб на металлопластиковые, диаметром 20 мм</t>
  </si>
  <si>
    <t>2.2.1.5.2</t>
  </si>
  <si>
    <t>Замена внутренних водопроводов из стальных труб   на металлопластиковые, диаметром 25 мм</t>
  </si>
  <si>
    <t>2.2.1.6.1</t>
  </si>
  <si>
    <t>Временная заделка свищей и трещин на внутренних трубопроводах и стояках при диаметре трубопровода до 50 мм</t>
  </si>
  <si>
    <t>2.2.1.6.2</t>
  </si>
  <si>
    <t>Временная заделка свищей и трещин на внутренних трубопроводах и стояках при диаметре трубопровода до 75 мм</t>
  </si>
  <si>
    <t>2.2.1.7.1</t>
  </si>
  <si>
    <t>Смена сгонов у трубопроводов диаметром до 20 мм</t>
  </si>
  <si>
    <t>100 сгонов</t>
  </si>
  <si>
    <t>2.2.1.7.2</t>
  </si>
  <si>
    <t>Смена сгонов у трубопроводов диаметром до 32 мм</t>
  </si>
  <si>
    <t>2.2.1.7.3</t>
  </si>
  <si>
    <t>Смена сгонов у трубопроводов диаметром до 50 мм</t>
  </si>
  <si>
    <t>2.2.1.8.1</t>
  </si>
  <si>
    <t>Уплотнение сгонов с применением льняной пряди или асбестового шнура (без разборки сгонов) диаметром до 20 мм</t>
  </si>
  <si>
    <t>1 сгон</t>
  </si>
  <si>
    <t>2.2.1.8.2</t>
  </si>
  <si>
    <t>Уплотнение сгонов с применением льняной пряди или асбестового шнура (без разборки сгонов) диаметром до 32 мм</t>
  </si>
  <si>
    <t>2.2.1.8.3</t>
  </si>
  <si>
    <t>Уплотнение сгонов с применением льняной пряди или асбестового шнура (без разборки сгонов) диаметром до 50 мм</t>
  </si>
  <si>
    <t>2.2.1.8.4</t>
  </si>
  <si>
    <t>Уплотнение сгонов с применением ленты ФУМ (без разборки сгонов) диаметром до 50 мм</t>
  </si>
  <si>
    <t>2.2.3.8.1</t>
  </si>
  <si>
    <t>Гидравлическое испытание теплообменника (водонагревателя)  поверхностью нагрева  до 16 кв.м</t>
  </si>
  <si>
    <t>1 теплообменник (бойлер)</t>
  </si>
  <si>
    <t>2.2.4</t>
  </si>
  <si>
    <t>Теплоизоляция сетей  горячего  водоснабжения</t>
  </si>
  <si>
    <t>2.2.5.1.1</t>
  </si>
  <si>
    <t>Окраска масляными составами ранее окрашенных поверхностей  стальных труб горячего водоснабжения за 1 раз</t>
  </si>
  <si>
    <t>100 м2 окрашиваемой поверхности</t>
  </si>
  <si>
    <t>2.2.5.1.2</t>
  </si>
  <si>
    <t>Окраска масляными составами ранее окрашенных поверхностей  стальных труб горячего водоснабжения за 2 раза</t>
  </si>
  <si>
    <t>2.2.6.1</t>
  </si>
  <si>
    <t>Смена вентилей и клапанов обратных муфтовых диаметром до 20 мм</t>
  </si>
  <si>
    <t>2.2.6.2</t>
  </si>
  <si>
    <t>Смена вентилей и клапанов обратных муфтовых диаметром до 32  мм</t>
  </si>
  <si>
    <t>2.2.6.3</t>
  </si>
  <si>
    <t>Смена вентилей и клапанов обратных муфтовых диаметром до 50  мм</t>
  </si>
  <si>
    <t>2.2.6.4</t>
  </si>
  <si>
    <t>Смена задвижек диаметром до 50 мм</t>
  </si>
  <si>
    <t>2.2.6.5</t>
  </si>
  <si>
    <t>Смена задвижек диаметром до 100 мм</t>
  </si>
  <si>
    <t>2.2.6.6</t>
  </si>
  <si>
    <t>Смена задвижек диаметром до 150 мм</t>
  </si>
  <si>
    <t>2.2.6.7</t>
  </si>
  <si>
    <t>Замена внутренних пожарных кранов</t>
  </si>
  <si>
    <t>2.3.1.1</t>
  </si>
  <si>
    <t>Смена горизонтальных участков трубопроводов канализации из полиэтиленовых труб высокой плотности диаметром 50 мм</t>
  </si>
  <si>
    <t>2.3.1.2</t>
  </si>
  <si>
    <t>Смена горизонтальных участков трубопроводов канализации из полиэтиленовых труб высокой плотности диаметром 100 мм</t>
  </si>
  <si>
    <t>2.3.1.3</t>
  </si>
  <si>
    <t>Смена вертикальных участков трубопроводов канализации из полиэтиленовых труб высокой плотности диаметром 50 мм</t>
  </si>
  <si>
    <t>2.3.1.4</t>
  </si>
  <si>
    <t>Смена вертикальных участков трубопроводов канализации из полиэтиленовых труб высокой плотности диаметром 100 мм</t>
  </si>
  <si>
    <t>2.3.1.5</t>
  </si>
  <si>
    <t>Смена вертикальных участков трубопроводов канализации из полиэтиленовых труб высокой плотности диаметром 150 мм</t>
  </si>
  <si>
    <t>2.3.2.1</t>
  </si>
  <si>
    <t>Смена отдельных участков  чугунных труб и внутренних чугунных канализационных выпусков при диаметре канализационного выпуска 50 мм</t>
  </si>
  <si>
    <t>2.3.2.2</t>
  </si>
  <si>
    <t>Смена отдельных участков чугунных труб и  внутренних чугунных канализационных выпусков при диаметре канализационного выпуска 100 мм</t>
  </si>
  <si>
    <t>2.3.2.3</t>
  </si>
  <si>
    <t>Смена отдельных участков чугунных труб и внутренних чугунных канализационных выпусков при диаметре канализационного выпуска 150 мм</t>
  </si>
  <si>
    <t>2.3.3.3.1</t>
  </si>
  <si>
    <t>Подчеканка раструбов чугунных  канализационных труб диаметром до 50 мм</t>
  </si>
  <si>
    <t>100  раструбов</t>
  </si>
  <si>
    <t>2.3.3.3.2</t>
  </si>
  <si>
    <t>Подчеканка раструбов чугунных  канализационных труб диаметром до 75 мм</t>
  </si>
  <si>
    <t>2.3.3.3.3</t>
  </si>
  <si>
    <t>Подчеканка раструбов  чугунных  канализационных труб диаметром до 100 мм</t>
  </si>
  <si>
    <t>2.3.3.3.4</t>
  </si>
  <si>
    <t>Подчеканка раструбов  чугунных  канализационных труб диаметром до 125 мм</t>
  </si>
  <si>
    <t>2.3.4</t>
  </si>
  <si>
    <t>Устранение засоров внутренних канализационных трубопроводов</t>
  </si>
  <si>
    <t>2.3.5</t>
  </si>
  <si>
    <t>Заделка стыков соединений стояков внутренних водостоков</t>
  </si>
  <si>
    <t>100 соединений</t>
  </si>
  <si>
    <t>2.3.6.1</t>
  </si>
  <si>
    <t>Смена трапа чугунного диаметром 50 мм</t>
  </si>
  <si>
    <t>100 трапов</t>
  </si>
  <si>
    <t>2.3.6.2</t>
  </si>
  <si>
    <t>Смена трапа чугунного диаметром 100 мм</t>
  </si>
  <si>
    <t>2.3.7</t>
  </si>
  <si>
    <t>Набивка сальников компенсационных патрубков на стояках внутренних водостоков</t>
  </si>
  <si>
    <t>100 патрубков</t>
  </si>
  <si>
    <t>2.3.8.1</t>
  </si>
  <si>
    <t>Очистка стальной щеткой старых чугунных труб и фасонных частей от нароста и грязи при диаметре трубопровода до 50 мм</t>
  </si>
  <si>
    <t>1 м трубопровода</t>
  </si>
  <si>
    <t>2.3.8.2</t>
  </si>
  <si>
    <t>Очистка стальной щеткой старых чугунных труб и фасонных частей от нароста и грязи при диаметре трубопровода до 75 мм</t>
  </si>
  <si>
    <t>2.3.8.3</t>
  </si>
  <si>
    <t>Очистка стальной щеткой старых чугунных труб и фасонных частей от нароста и грязи при диаметре трубопровода до 100 мм</t>
  </si>
  <si>
    <t>2.3.9.1</t>
  </si>
  <si>
    <t>Окраска масляными составами ранее окрашенных поверхностей  чугунных труб за 1 раз</t>
  </si>
  <si>
    <t>2.3.9.2</t>
  </si>
  <si>
    <t>Окраска масляными составами ранее окрашенных поверхностей  чугунных труб за 2 раза</t>
  </si>
  <si>
    <t>2.3.9.3</t>
  </si>
  <si>
    <t>Окраска масляными составами элементов трубопровода за 1 раз</t>
  </si>
  <si>
    <t>2.3.9.4</t>
  </si>
  <si>
    <t>Окраска масляными составами элементов трубопровода за 2 раза</t>
  </si>
  <si>
    <t>2.5.1.1</t>
  </si>
  <si>
    <t>Замена пакетных переключателей вводно-распределительных устройств и шкафов</t>
  </si>
  <si>
    <t>1 переключатель</t>
  </si>
  <si>
    <t>2.5.1.2</t>
  </si>
  <si>
    <t>Замена автоматического выключателя</t>
  </si>
  <si>
    <t>1 автоматический выключатель</t>
  </si>
  <si>
    <t>2.5.1.3</t>
  </si>
  <si>
    <t>Замена реле</t>
  </si>
  <si>
    <t>1 реле</t>
  </si>
  <si>
    <t>2.5.1.4</t>
  </si>
  <si>
    <t>Замена предохранителя</t>
  </si>
  <si>
    <t>1 предохранитель</t>
  </si>
  <si>
    <t>2.5.1.5</t>
  </si>
  <si>
    <t>Замена рубильника</t>
  </si>
  <si>
    <t>1 рубильник</t>
  </si>
  <si>
    <t>2.5.1.8</t>
  </si>
  <si>
    <t>Замена магнитного пускателя</t>
  </si>
  <si>
    <t>1 пускатель</t>
  </si>
  <si>
    <t>2.5.1.9</t>
  </si>
  <si>
    <t>Ремонт магнитного пускателя</t>
  </si>
  <si>
    <t>2.5.1.11</t>
  </si>
  <si>
    <t>Замена шкафов и ВРУ</t>
  </si>
  <si>
    <t>1 шкаф</t>
  </si>
  <si>
    <t>2.5.3.2</t>
  </si>
  <si>
    <t>Текущий ремонт электродвигателя</t>
  </si>
  <si>
    <t>1 двигатель</t>
  </si>
  <si>
    <t>2.5.3.4</t>
  </si>
  <si>
    <t>Техническое  обслуживание электрического  запирающего устройства (домофон)</t>
  </si>
  <si>
    <t>1 устройство</t>
  </si>
  <si>
    <t>2.5.3.5</t>
  </si>
  <si>
    <t>Замена электрического запирающего устройства (домофона)</t>
  </si>
  <si>
    <t>2.5.4</t>
  </si>
  <si>
    <t>Ремонт, замена  внутридомовых электрических сетей</t>
  </si>
  <si>
    <t>1000 пог.м.</t>
  </si>
  <si>
    <t>2.5.5.1</t>
  </si>
  <si>
    <t>Замена щитков</t>
  </si>
  <si>
    <t>1 щит</t>
  </si>
  <si>
    <t>2.5.5.2</t>
  </si>
  <si>
    <t>Ремонт щитков</t>
  </si>
  <si>
    <t>2.5.6.8</t>
  </si>
  <si>
    <t>Обслуживание однофазных счетчиков электроэнергии</t>
  </si>
  <si>
    <t>100 счетчиков</t>
  </si>
  <si>
    <t>2.5.6.9</t>
  </si>
  <si>
    <t>Обслуживание трехфазных счетчиков электроэнергии</t>
  </si>
  <si>
    <t>2.5.7.1</t>
  </si>
  <si>
    <t>Замена выключателя</t>
  </si>
  <si>
    <t>1 выключатель</t>
  </si>
  <si>
    <t>2.5.7.2</t>
  </si>
  <si>
    <t>Замена светильника с лампами накаливания или энергосберегающими лампами</t>
  </si>
  <si>
    <t>1 светильник</t>
  </si>
  <si>
    <t>2.5.7.3</t>
  </si>
  <si>
    <t>Замена светильника с люминесцентными лампами</t>
  </si>
  <si>
    <t>2.5.7.4</t>
  </si>
  <si>
    <t>Ремонт светильника с лампами накаливания или энергосберегающими лампами</t>
  </si>
  <si>
    <t>2.5.7.5</t>
  </si>
  <si>
    <t>Ремонт светильника с люминесцентными лампами</t>
  </si>
  <si>
    <t>2.5.7.6</t>
  </si>
  <si>
    <t>Замена лампы накаливания на энергосберегательную</t>
  </si>
  <si>
    <t>1 лампа</t>
  </si>
  <si>
    <t>2.5.7.7</t>
  </si>
  <si>
    <t>Замена люминесцентных ламп</t>
  </si>
  <si>
    <t>100 ламп</t>
  </si>
  <si>
    <t>2.5.9</t>
  </si>
  <si>
    <t>Ремонт штепсельных розеток и выключателей</t>
  </si>
  <si>
    <t>100 розеток (выключателей)</t>
  </si>
  <si>
    <t>2.5.10</t>
  </si>
  <si>
    <t>Смена розеток</t>
  </si>
  <si>
    <t>2.6.1.1</t>
  </si>
  <si>
    <t>Укрепление водосточных труб, колен, воронок с лестниц или подмостей</t>
  </si>
  <si>
    <t>1 ухват</t>
  </si>
  <si>
    <t>2.6.3.1</t>
  </si>
  <si>
    <t>Смена стекол на двойной замазке при размере фальцев 10х15 мм</t>
  </si>
  <si>
    <t>100 м фальца</t>
  </si>
  <si>
    <t>2.6.3.2</t>
  </si>
  <si>
    <t>Смена стекол на двойной замазке при размере фальцев 15х15 мм</t>
  </si>
  <si>
    <t>2.6.3.3</t>
  </si>
  <si>
    <t>Смена стекол на двойной замазке при размере фальцев 15х20 мм</t>
  </si>
  <si>
    <t>2.6.3.4</t>
  </si>
  <si>
    <t>Смена стекол на штапиках по замазке</t>
  </si>
  <si>
    <t>2.6.3.5</t>
  </si>
  <si>
    <t>Смена стекол на штапиках без замазки</t>
  </si>
  <si>
    <t>2.6.4</t>
  </si>
  <si>
    <t>Утепление бойлеров</t>
  </si>
  <si>
    <t xml:space="preserve">  1 м2 утепленного участка</t>
  </si>
  <si>
    <t>2.6.6.1</t>
  </si>
  <si>
    <t>Оштукатуривание продухов</t>
  </si>
  <si>
    <t xml:space="preserve">  1 м2 ремонтируемой поверхности</t>
  </si>
  <si>
    <t>2.6.6.2</t>
  </si>
  <si>
    <t>Перетирка штукатурки поверхностей</t>
  </si>
  <si>
    <t>2.6.6.3</t>
  </si>
  <si>
    <t>Окраска  продухов</t>
  </si>
  <si>
    <t>100 м2 ремонтируемой поверхности</t>
  </si>
  <si>
    <t>2.6.7</t>
  </si>
  <si>
    <t>Ремонт и утепление наружных водоразборных кранов и колонок</t>
  </si>
  <si>
    <t>100 колонок</t>
  </si>
  <si>
    <t>2.6.8.1</t>
  </si>
  <si>
    <t>Осмотр территории вокруг здания и фундамента</t>
  </si>
  <si>
    <t>1000 кв.м. общей площади</t>
  </si>
  <si>
    <t>2.6.8.2</t>
  </si>
  <si>
    <t>Осмотр кирпичных и железобетонных стен, фасадов</t>
  </si>
  <si>
    <t>2.6.8.3</t>
  </si>
  <si>
    <t>Осмотр деревянных стен, перегородок</t>
  </si>
  <si>
    <t>2.6.8.4</t>
  </si>
  <si>
    <t>Осмотр деревянных перекрытий</t>
  </si>
  <si>
    <t>2.6.8.5</t>
  </si>
  <si>
    <t>Осмотр деревянных покрытий, полов</t>
  </si>
  <si>
    <t>1000 кв.м. полов</t>
  </si>
  <si>
    <t>2.6.8.6</t>
  </si>
  <si>
    <t>Осмотр железобетонных перекрытий</t>
  </si>
  <si>
    <t>2.6.8.7</t>
  </si>
  <si>
    <t>Осмотр железобетонных покрытий</t>
  </si>
  <si>
    <t>2.6.8.8</t>
  </si>
  <si>
    <t>Осмотр внутренней отделки стен</t>
  </si>
  <si>
    <t>2.6.8.9</t>
  </si>
  <si>
    <t>Осмотр заполнения дверных и оконных проемов</t>
  </si>
  <si>
    <t>2.6.9.1</t>
  </si>
  <si>
    <t>Осмотр всех элементов стальных кровель, водостоков</t>
  </si>
  <si>
    <t>1000 кв.м. кровли</t>
  </si>
  <si>
    <t>2.6.9.2</t>
  </si>
  <si>
    <t>Осмотр всех элементов рулонных кровель, водостоков</t>
  </si>
  <si>
    <t>2.6.9.3</t>
  </si>
  <si>
    <t>Осмотр всех элементов кровель из штучных материалов, водостоков</t>
  </si>
  <si>
    <t>2.6.10</t>
  </si>
  <si>
    <t>Осмотр системы мусороудаления</t>
  </si>
  <si>
    <t>100 пог.м. мусоропровода</t>
  </si>
  <si>
    <t>2.6.11.1</t>
  </si>
  <si>
    <t>Осмотр водопровода, канализации и горячего водоснабжения</t>
  </si>
  <si>
    <t>100 квартир</t>
  </si>
  <si>
    <t>2.6.11.2</t>
  </si>
  <si>
    <t>Промывка участка водопровода</t>
  </si>
  <si>
    <t>100 куб.м. здания</t>
  </si>
  <si>
    <t>2.6.11.3</t>
  </si>
  <si>
    <t>Прочистка канализационного лежака</t>
  </si>
  <si>
    <t>100 м канализационного лежака</t>
  </si>
  <si>
    <t>2.6.11.4</t>
  </si>
  <si>
    <t>Проверка исправности  канализационных  вытяжек</t>
  </si>
  <si>
    <t>2.6.13.1</t>
  </si>
  <si>
    <t>Осмотр  электросети, арматуры, электрооборудования на лестничных клетках</t>
  </si>
  <si>
    <t>100 лестничных площадок</t>
  </si>
  <si>
    <t>2.6.13.2</t>
  </si>
  <si>
    <t>Осмотр  силовых установок</t>
  </si>
  <si>
    <t>1 электромотор</t>
  </si>
  <si>
    <t>2.6.13.3</t>
  </si>
  <si>
    <t>Проверка изоляции электропроводки и ее укрепление</t>
  </si>
  <si>
    <t>2.6.13.4</t>
  </si>
  <si>
    <t>Проверка заземления оболочки электрокабеля</t>
  </si>
  <si>
    <t>2.6.13.5</t>
  </si>
  <si>
    <t>Замеры сопротивления изоляции проводов</t>
  </si>
  <si>
    <t xml:space="preserve">измерение 1         </t>
  </si>
  <si>
    <t>2.6.14.1.1</t>
  </si>
  <si>
    <t>Осмотр внутриквартирных устройств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</si>
  <si>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</si>
  <si>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</si>
  <si>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</si>
  <si>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</si>
  <si>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</si>
  <si>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</si>
  <si>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2.6.14.3.1</t>
  </si>
  <si>
    <t>Первое рабочее испытание отдельных частей системы при диаметре трубопровода до 50 мм</t>
  </si>
  <si>
    <t>2.6.14.3.2</t>
  </si>
  <si>
    <t>Рабочая проверка системы в целом при диаметре трубопровода до 50 мм</t>
  </si>
  <si>
    <t>2.6.14.3.3</t>
  </si>
  <si>
    <t>Окончательная проверка при сдаче системы при диаметре трубопровода до 50 мм</t>
  </si>
  <si>
    <t>2.6.14.3.10</t>
  </si>
  <si>
    <t>Проверка на прогрев отопительных приборов с регулировкой</t>
  </si>
  <si>
    <t>2.6.14.4.1</t>
  </si>
  <si>
    <t>Промывка трубопроводов системы центрального отопления до 50 мм</t>
  </si>
  <si>
    <t>10 м трубопровода (100 м3 здания)</t>
  </si>
  <si>
    <t>2.6.14.5.1.1</t>
  </si>
  <si>
    <t>Притирка пробочного крана диаметром до 25 мм без снятия с места</t>
  </si>
  <si>
    <t>2.6.14.5.1.2</t>
  </si>
  <si>
    <t>Притирка пробочного крана диаметром 26-32 мм без снятия с места</t>
  </si>
  <si>
    <t>2.6.14.5.1.3</t>
  </si>
  <si>
    <t>Притирка пробочного крана диаметром 33-50 мм без снятия с места</t>
  </si>
  <si>
    <t>2.6.14.5.1.4</t>
  </si>
  <si>
    <t>Притирка клапана вентиля диаметром до 25 мм без снятия с места</t>
  </si>
  <si>
    <t>2.6.14.5.1.5</t>
  </si>
  <si>
    <t>Притирка клапана вентиля диаметром 26-32 мм без снятия с места</t>
  </si>
  <si>
    <t>2.6.14.5.1.6</t>
  </si>
  <si>
    <t>Притирка клапана вентиля диаметром 33-50 мм без снятия с места</t>
  </si>
  <si>
    <t>2.6.14.5.2</t>
  </si>
  <si>
    <t>Укрепление крючков для труб и приборов центрального отопления</t>
  </si>
  <si>
    <t>1 крепление</t>
  </si>
  <si>
    <t>2.6.14.5.3</t>
  </si>
  <si>
    <t>Вывертывание и ввертывание радиаторной пробки</t>
  </si>
  <si>
    <t>100 пробок</t>
  </si>
  <si>
    <t>2.6.14.5.4.1</t>
  </si>
  <si>
    <t>Перегруппировка секций старого радиатора при весе радиатора до 240 кг</t>
  </si>
  <si>
    <t>2.6.14.5.4.2</t>
  </si>
  <si>
    <t>На каждую следующую секцию сверх первой добавлять</t>
  </si>
  <si>
    <t>2.6.14.5.5.1</t>
  </si>
  <si>
    <t>Ликвидация воздушных пробок в стояке системы отопления</t>
  </si>
  <si>
    <t>100 стояков</t>
  </si>
  <si>
    <t>2.6.14.5.5.2</t>
  </si>
  <si>
    <t>Ликвидация воздушных пробок в радиаторном блоке</t>
  </si>
  <si>
    <t>2.6.14.5.6</t>
  </si>
  <si>
    <t>Ремонт кранов регулировки у радиаторных блоков</t>
  </si>
  <si>
    <t>2.6.14.5.7.1</t>
  </si>
  <si>
    <t>Мелкий ремонт изоляции трубопроводов при диаметре 50 мм</t>
  </si>
  <si>
    <t>2.6.14.5.7.2</t>
  </si>
  <si>
    <t>Мелкий ремонт изоляции трубопроводов при диаметре 75 мм</t>
  </si>
  <si>
    <t>2.6.14.5.7.3</t>
  </si>
  <si>
    <t>Мелкий ремонт изоляции трубопроводов при диаметре 100 мм</t>
  </si>
  <si>
    <t>2.6.15.1.1</t>
  </si>
  <si>
    <t>Визуальный осмотр узла учета и проверка наличия и нарушения пломб (прибор учета воды диаметром 25-40 мм)</t>
  </si>
  <si>
    <t>1 прибор учета</t>
  </si>
  <si>
    <t>2.6.15.1.2</t>
  </si>
  <si>
    <t>Снятие и запись показаний с вычислителя в журнал (прибор учета воды диаметром 25-40 мм)</t>
  </si>
  <si>
    <t>2.6.15.1.3</t>
  </si>
  <si>
    <t>Составление акта (при нарушении правил эксплуатации прибора учета воды диаметром 25-40 мм) с представителями абонента и поставщиком</t>
  </si>
  <si>
    <t>2.6.15.1.4</t>
  </si>
  <si>
    <t>Проверка работоспособности запорной арматуры и очистка фильтров (приборов учета воды диаметром 25-40 мм)</t>
  </si>
  <si>
    <t>1 фильтр</t>
  </si>
  <si>
    <t>2.6.15.1.5</t>
  </si>
  <si>
    <t>Установка фильтра для очистки воды (приборов учета воды диаметром 25-40 мм)</t>
  </si>
  <si>
    <t>2.6.15.1.6</t>
  </si>
  <si>
    <t>Запуск воды с общего вентиля к счетчику (приборов учета воды диаметром 25-40 мм)</t>
  </si>
  <si>
    <t>2.6.15.1.7</t>
  </si>
  <si>
    <t>При отказе или неисправной работе прибора учета воды диаметром 25-40 мм - поиск неисправностей</t>
  </si>
  <si>
    <t>2.6.15.1.8</t>
  </si>
  <si>
    <t>Проверка работоспособности водозапорной арматуры приборов учета воды диаметром 25-40 мм</t>
  </si>
  <si>
    <t>2.6.15.3.1</t>
  </si>
  <si>
    <t>Визуальный осмотр и проверка наличия и нарушения пломб (узел учета тепловой энергии диаметром 25-40 мм)</t>
  </si>
  <si>
    <t>1 узел учета</t>
  </si>
  <si>
    <t>2.6.15.3.2</t>
  </si>
  <si>
    <t>Снятие и запись показаний с вычислителя в журнал (узел учета тепловой энергии диаметром 25-40 мм)</t>
  </si>
  <si>
    <t>2.6.15.3.3</t>
  </si>
  <si>
    <t>Составление акта (при нарушении правил эксплуатации прибора) (узел учета тепловой энергии диаметром 25-40 мм)</t>
  </si>
  <si>
    <t>2.6.15.3.4</t>
  </si>
  <si>
    <t>Проверка работоспособности запорной арматуры и очистка фильтра (узел учета тепловой энергии диаметром 25-40 мм)</t>
  </si>
  <si>
    <t>2.6.15.3.5</t>
  </si>
  <si>
    <t>Установка фильтра для очистки теплоносителя (узел учета тепловой энергии диаметром 25-40 мм)</t>
  </si>
  <si>
    <t>2.6.15.3.6</t>
  </si>
  <si>
    <t>Запуск воды с общего вентиля к счетчику (узел учета тепловой энергии диаметром 25-40 мм)</t>
  </si>
  <si>
    <t>2.6.15.3.7</t>
  </si>
  <si>
    <t>При отказе или неисправной работе теплосчетчика - поиск неисправностей (узел учета тепловой энергии диаметром 25-40 мм)</t>
  </si>
  <si>
    <t>2.6.15.3.8.1</t>
  </si>
  <si>
    <t>Проверка работоспособности водозапорной арматуры (выборочная метрологическая поверка теплосчетчиков диаметром 25-40 мм)</t>
  </si>
  <si>
    <t>2.6.15.3.8.2</t>
  </si>
  <si>
    <t>Профилактические работы (выборочная метрологическая поверка теплосчетчиков диаметром 25-40 мм)</t>
  </si>
  <si>
    <t>2.6.15.3.8.4</t>
  </si>
  <si>
    <t>Съем данных с тепловычислителя с помощью переносного компьютера, адаптера (выборочная метрологическая поверка теплосчетчиков диаметром 25-40 мм)</t>
  </si>
  <si>
    <t>2.6.15.3.8.5</t>
  </si>
  <si>
    <t>Обсчет данных, оформление справок, распечатка архивов данных (выборочная метрологическая поверка теплосчетчиков диаметром 25-40 мм)</t>
  </si>
  <si>
    <t>2.6.15.5.1</t>
  </si>
  <si>
    <t>Снятие (демонтаж) прибора учета тепловой энергии, диаметром до 50 мм</t>
  </si>
  <si>
    <t>2.6.15.5.2</t>
  </si>
  <si>
    <t>Установка (монтаж) прибора учета тепловой энергии, диаметром до 50 мм</t>
  </si>
  <si>
    <t>2.7.1.1</t>
  </si>
  <si>
    <t>Устранение аварии на внутридомовых инженерных сетях при сроке эксплуатации многоквартирного дома до 10 лет</t>
  </si>
  <si>
    <t>1000 м2  общей площади жилых помещений, оборудованных газовыми плитами (в год для одной смены)</t>
  </si>
  <si>
    <t>2.7.1.2</t>
  </si>
  <si>
    <t>Устранение аварии на внутридомовых инженерных сетях при сроке эксплуатации многоквартирного дома от 11 до 30  лет</t>
  </si>
  <si>
    <t>2.7.1.3</t>
  </si>
  <si>
    <t>Устранение аварии на внутридомовых инженерных сетях при сроке эксплуатации многоквартирного дома от 31 до 50 лет</t>
  </si>
  <si>
    <t>2.7.1.4</t>
  </si>
  <si>
    <t>Устранение аварии на внутридомовых инженерных сетях при сроке эксплуатации многоквартирного дома от 51 до 70 лет</t>
  </si>
  <si>
    <t>2.7.1.5</t>
  </si>
  <si>
    <t>Устранение аварии на внутридомовых инженерных сетях при сроке эксплуатации многоквартирного дома более 70 лет</t>
  </si>
  <si>
    <t>2.7.2.1</t>
  </si>
  <si>
    <t>1000 м2  общей площади жилых помещений, не оборудованных газовыми плитами (в год для одной смены)</t>
  </si>
  <si>
    <t>2.7.2.2</t>
  </si>
  <si>
    <t>2.7.2.3</t>
  </si>
  <si>
    <t>2.9.1</t>
  </si>
  <si>
    <t>Окраска ковшей мусоропровода</t>
  </si>
  <si>
    <t>2.9.2</t>
  </si>
  <si>
    <t>Замена отдельных элементов загрузочных клапанов</t>
  </si>
  <si>
    <t>1 клапан</t>
  </si>
  <si>
    <t>2.9.3</t>
  </si>
  <si>
    <t>Устранение мелких неисправностей мусоропровода</t>
  </si>
  <si>
    <t>1 м мусоропровода</t>
  </si>
  <si>
    <t>2.9.4</t>
  </si>
  <si>
    <t>Окраска ствола мусоропровода</t>
  </si>
  <si>
    <t>3.1.2.1.1.1</t>
  </si>
  <si>
    <t>Удаление мусора из мусороприемных камер с бункерами, расположенных на 1-ом этаже в домах до  10 этажей</t>
  </si>
  <si>
    <t>1 м3  ТБО</t>
  </si>
  <si>
    <t>3.1.2.1.2.1</t>
  </si>
  <si>
    <t>Влажное подметание пола мусороприемных камер, расположенных на 1-ом этаже,  в домах  до 10 этажей</t>
  </si>
  <si>
    <t xml:space="preserve">100 м2  площади мусороприемных камер  </t>
  </si>
  <si>
    <t>3.1.2.1.2.2</t>
  </si>
  <si>
    <t>Влажное подметание пола мусороприемных камер в 11-ти и более этажных домах или при наличии мусороприемных камер и мусороприемников в подвальных помещениях и цокольных этажах</t>
  </si>
  <si>
    <t>3.1.2.1.3.1</t>
  </si>
  <si>
    <t>Уборка в домах до 10 этажей мусороприемных камер, расположенных на 1-ом этаже,  облицованных кафельной плиткой, без шланга</t>
  </si>
  <si>
    <t>3.1.2.1.3.2</t>
  </si>
  <si>
    <t>Уборка в 11-ти и более этажных домах мусороприемных камер, облицованных кафельной плиткой,  расположенных в подвальных помещениях и цокольных этажах, без шланга</t>
  </si>
  <si>
    <t>3.1.2.3.1</t>
  </si>
  <si>
    <t>Дезинфекция всех элементов ствола мусоропровода с помощью ершей с ручными лебедками</t>
  </si>
  <si>
    <t>100 м мусоропровода</t>
  </si>
  <si>
    <t>3.1.2.3.2</t>
  </si>
  <si>
    <t>Дезинфекция всех элементов ствола мусоропровода вручную</t>
  </si>
  <si>
    <t>3.1.5.1</t>
  </si>
  <si>
    <t>Подметание  чердаков и подвалов без предварительного увлажнения</t>
  </si>
  <si>
    <t>100 м2 чердаков и подвалов</t>
  </si>
  <si>
    <t>3.1.5.2.1</t>
  </si>
  <si>
    <t>Уборка мусора и транспортировкой мусора до 50 м</t>
  </si>
  <si>
    <t>1 м3  мусора</t>
  </si>
  <si>
    <t>3.1.5.2.2</t>
  </si>
  <si>
    <t>Уборка мусора и транспортировкой мусора до 100 м</t>
  </si>
  <si>
    <t>3.1.5.3</t>
  </si>
  <si>
    <t>Очистка чердаков  и подвалов от строительного мусора</t>
  </si>
  <si>
    <t>100 кг строительного мусора</t>
  </si>
  <si>
    <t>3.1.6.1</t>
  </si>
  <si>
    <t>Установка флагов во флагштоки</t>
  </si>
  <si>
    <t>1 флаг</t>
  </si>
  <si>
    <t>3.1.6.2</t>
  </si>
  <si>
    <t>Художественное раскрашивание  фасадов  зданий и площадок</t>
  </si>
  <si>
    <t>100 м2  раскрашиваемой поверхности</t>
  </si>
  <si>
    <t>3.1.6.3</t>
  </si>
  <si>
    <t>Протирка  номерных фонарей</t>
  </si>
  <si>
    <t>10 фонарей</t>
  </si>
  <si>
    <t>3.1.6.4</t>
  </si>
  <si>
    <t>Протирка  номерных указателей</t>
  </si>
  <si>
    <t>10 указателей</t>
  </si>
  <si>
    <t>3.1.8.1.1</t>
  </si>
  <si>
    <t>3.1.8.1.2</t>
  </si>
  <si>
    <t>Известковое окрашивание оштукатуренных  фасадов с рустами  и орнаментированных</t>
  </si>
  <si>
    <t>3.1.8.3.1</t>
  </si>
  <si>
    <t>Окрашивание гладких  кирпичных фасадов известковыми  составами</t>
  </si>
  <si>
    <t>3.1.8.3.2</t>
  </si>
  <si>
    <t>Клеевая окраска гладких  кирпичных фасадов известковыми  составами</t>
  </si>
  <si>
    <t>3.2.1.1</t>
  </si>
  <si>
    <t>Подметание в летний период  земельного участка с усовершенствованным покрытием 1 класса</t>
  </si>
  <si>
    <t>1 000 кв.м. территории</t>
  </si>
  <si>
    <t>3.2.1.2</t>
  </si>
  <si>
    <t>Подметание в летний период  земельного участка с усовершенствованным покрытием 2 класса</t>
  </si>
  <si>
    <t>3.2.1.3</t>
  </si>
  <si>
    <t>Подметание в летний период  земельного участка с усовершенствованным покрытием 3 класса</t>
  </si>
  <si>
    <t>3.2.1.4</t>
  </si>
  <si>
    <t>Подметание в летний период  земельного участка с неусовершенствованным покрытием 1 класса</t>
  </si>
  <si>
    <t>3.2.1.5</t>
  </si>
  <si>
    <t>Подметание в летний период  земельного участка с неусовершенствованным покрытием 2 класса</t>
  </si>
  <si>
    <t>3.2.1.6</t>
  </si>
  <si>
    <t>Подметание в летний период  земельного участка с неусовершенствованным покрытием 3 класса</t>
  </si>
  <si>
    <t>3.2.1.7</t>
  </si>
  <si>
    <t>Подметание в летний период  земельного участка без покрытия 1 класса</t>
  </si>
  <si>
    <t>3.2.1.8</t>
  </si>
  <si>
    <t>Подметание в летний период  земельного участка без покрытия 2 класса</t>
  </si>
  <si>
    <t>3.2.1.9</t>
  </si>
  <si>
    <t>Подметание в летний период  земельного участка без покрытия 3 класса</t>
  </si>
  <si>
    <t>3.2.2.1</t>
  </si>
  <si>
    <t>Полив тротуаров 1 класса</t>
  </si>
  <si>
    <t>100 000 кв.м. территории</t>
  </si>
  <si>
    <t>3.2.2.2</t>
  </si>
  <si>
    <t>Полив тротуаров 2 класса</t>
  </si>
  <si>
    <t>3.2.2.3</t>
  </si>
  <si>
    <t>Полив тротуаров 3 класса</t>
  </si>
  <si>
    <t>3.2.3.1.1</t>
  </si>
  <si>
    <t>Уборка газонов средней засоренности от листьев, сучьев, мусора</t>
  </si>
  <si>
    <t>3.2.3.1.3</t>
  </si>
  <si>
    <t>Уборка газонов от случайного мусора</t>
  </si>
  <si>
    <t>100 000 м2</t>
  </si>
  <si>
    <t>3.2.3.1.4</t>
  </si>
  <si>
    <t>Полив газонов</t>
  </si>
  <si>
    <t>на 100 000 кв.м.</t>
  </si>
  <si>
    <t>3.2.3.1.5</t>
  </si>
  <si>
    <t>Стрижка газонов</t>
  </si>
  <si>
    <t>на 100 кв.м.</t>
  </si>
  <si>
    <t>3.2.3.2.10</t>
  </si>
  <si>
    <t>Очистка опрокидывающихся урн от мусора</t>
  </si>
  <si>
    <t>на 100 урн</t>
  </si>
  <si>
    <t>3.2.4.1</t>
  </si>
  <si>
    <t>Формовочная обрезка деревьев высотой более 5 м</t>
  </si>
  <si>
    <t>100 деревьев</t>
  </si>
  <si>
    <t>3.2.4.2</t>
  </si>
  <si>
    <t>Вырезка сухих ветвей и поросли</t>
  </si>
  <si>
    <t>3.2.4.3</t>
  </si>
  <si>
    <t>Обрезка под естественный вид крон деревьев с использованием вышки</t>
  </si>
  <si>
    <t>3.2.4.4</t>
  </si>
  <si>
    <t>Формирование кроны кустарников</t>
  </si>
  <si>
    <t>1000 кустов</t>
  </si>
  <si>
    <t>3.2.4.5</t>
  </si>
  <si>
    <t>Обрезка под естественный вид крон кустарников</t>
  </si>
  <si>
    <t>3.2.4.6</t>
  </si>
  <si>
    <t>Стрижка живой изгороди</t>
  </si>
  <si>
    <t>1000 кв.м.</t>
  </si>
  <si>
    <t>3.2.5.1</t>
  </si>
  <si>
    <t>Уборка детских и спортивных площадок</t>
  </si>
  <si>
    <t>3.2.5.2.1</t>
  </si>
  <si>
    <t>Окраска скамьи без спинки с металлическими опорами</t>
  </si>
  <si>
    <t>скамья</t>
  </si>
  <si>
    <t>3.2.5.2.2</t>
  </si>
  <si>
    <t>Окраска скамьи без спинки с бетонными опорами</t>
  </si>
  <si>
    <t>3.2.5.2.3</t>
  </si>
  <si>
    <t>Окраска скамьи чугунной со спинкой</t>
  </si>
  <si>
    <t>3.2.5.2.4</t>
  </si>
  <si>
    <t>Окраска качелей-маятника</t>
  </si>
  <si>
    <t>качели</t>
  </si>
  <si>
    <t>3.2.5.2.5</t>
  </si>
  <si>
    <t>Окраска качелей-балансира</t>
  </si>
  <si>
    <t>3.2.5.2.6</t>
  </si>
  <si>
    <t>Окраска поверхности песочницы</t>
  </si>
  <si>
    <t>песочница</t>
  </si>
  <si>
    <t>3.2.5.2.7</t>
  </si>
  <si>
    <t>Окраска лианы 3-х секционной</t>
  </si>
  <si>
    <t>лиана</t>
  </si>
  <si>
    <t>3.2.5.2.8</t>
  </si>
  <si>
    <t>Окраска лестницы</t>
  </si>
  <si>
    <t>лестница</t>
  </si>
  <si>
    <t>3.2.5.2.9</t>
  </si>
  <si>
    <t>Окраска турника</t>
  </si>
  <si>
    <t>турник</t>
  </si>
  <si>
    <t>3.2.5.2.10</t>
  </si>
  <si>
    <t>Окраска хоккейных ворот</t>
  </si>
  <si>
    <t>ворота</t>
  </si>
  <si>
    <t>3.2.5.2.11</t>
  </si>
  <si>
    <t>Окраска футбольных ворот</t>
  </si>
  <si>
    <t>3.2.5.2.12</t>
  </si>
  <si>
    <t>Окраска металлических ограждений спортивных площадок</t>
  </si>
  <si>
    <t xml:space="preserve">пог.м. </t>
  </si>
  <si>
    <t>3.2.5.2.13</t>
  </si>
  <si>
    <t>Окраска деревянных ограждений спортивных площадок</t>
  </si>
  <si>
    <t>3.2.5.3.1</t>
  </si>
  <si>
    <t>Ремонт скамьи без спинки с металлическими опорами</t>
  </si>
  <si>
    <t>3.2.5.3.2</t>
  </si>
  <si>
    <t>Ремонт скамьи без спинки с бетонными опорами</t>
  </si>
  <si>
    <t>3.2.5.3.3</t>
  </si>
  <si>
    <t>Ремонт качелей-маятника</t>
  </si>
  <si>
    <t>3.2.5.3.4</t>
  </si>
  <si>
    <t>Ремонт качелей-балансира</t>
  </si>
  <si>
    <t>3.2.5.3.5</t>
  </si>
  <si>
    <t>Ремонт песочницы</t>
  </si>
  <si>
    <t>3.2.5.3.6</t>
  </si>
  <si>
    <t>Ремонт лианы 3-х секционной</t>
  </si>
  <si>
    <t>3.2.5.3.7</t>
  </si>
  <si>
    <t>Ремонт лестницы</t>
  </si>
  <si>
    <t>3.2.5.3.8</t>
  </si>
  <si>
    <t>Ремонт турника</t>
  </si>
  <si>
    <t>3.2.5.3.9</t>
  </si>
  <si>
    <t>Ремонт хоккейных ворот</t>
  </si>
  <si>
    <t>3.2.5.3.10</t>
  </si>
  <si>
    <t>Ремонт футбольных ворот</t>
  </si>
  <si>
    <t>3.2.5.3.11</t>
  </si>
  <si>
    <t>Ремонт металлических ограждений спортивных площадок</t>
  </si>
  <si>
    <t>пог.м заменяемого участка</t>
  </si>
  <si>
    <t>3.2.5.3.12</t>
  </si>
  <si>
    <t>Ремонт деревянных ограждений спортивных площадок</t>
  </si>
  <si>
    <t>100 пог.м заменяемого участка</t>
  </si>
  <si>
    <t>3.2.5.4</t>
  </si>
  <si>
    <t>Заполнение песочницы песком</t>
  </si>
  <si>
    <t>3.2.6.1</t>
  </si>
  <si>
    <t>Сдвижка и подметание снега при отсутствии снегопада на придомовой территории с усовершенствованным покрытием 1 класса</t>
  </si>
  <si>
    <t>10 000 кв.м. территории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</si>
  <si>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</si>
  <si>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</si>
  <si>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3.2.6.3</t>
  </si>
  <si>
    <t>Сдвижка и подметание снега при отсутствии снегопада на придомовой территории с усовершенствованным покрытием 3 класса</t>
  </si>
  <si>
    <t>3.2.8.1</t>
  </si>
  <si>
    <t>Очистка территории с усовершенствованным покрытием 1 класса от наледи без обработки противогололедными реагентами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</si>
  <si>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</si>
  <si>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</si>
  <si>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3.2.8.3</t>
  </si>
  <si>
    <t>Очистка территории с усовершенствованным покрытием 3 класса от наледи без обработки противогололедными реагентами</t>
  </si>
  <si>
    <t>3.2.8.7</t>
  </si>
  <si>
    <t>Подготовка смеси песка с хлоридами</t>
  </si>
  <si>
    <t>1 куб. м</t>
  </si>
  <si>
    <t>3.2.8.8</t>
  </si>
  <si>
    <t>Посыпка территории I класса</t>
  </si>
  <si>
    <t>3.2.8.9</t>
  </si>
  <si>
    <t>Посыпка территории II класса</t>
  </si>
  <si>
    <t>3.2.8.10</t>
  </si>
  <si>
    <t>Посыпка территории III класса</t>
  </si>
  <si>
    <t>3.2.9.1</t>
  </si>
  <si>
    <t>Очистка кровли от снега, сбивание сосулек (при толщине слоя до 10 см)</t>
  </si>
  <si>
    <t>100 кв.м. кровли</t>
  </si>
  <si>
    <t>3.2.9.4</t>
  </si>
  <si>
    <t>Очистка кровли от мусора, листьев</t>
  </si>
  <si>
    <t>100 кв.м кровли</t>
  </si>
  <si>
    <t>3.2.11</t>
  </si>
  <si>
    <t>Уборка крыльца и площадки перед входом в подъезд (в холодный период года)</t>
  </si>
  <si>
    <t>3.2.12</t>
  </si>
  <si>
    <t>Уборка крыльца и площадки перед входом в подъезд (в теплый период года)</t>
  </si>
  <si>
    <t>3.2.13</t>
  </si>
  <si>
    <t>Очистка металлической решетки и приямка (в теплый период)</t>
  </si>
  <si>
    <t>1 приямок</t>
  </si>
  <si>
    <t>3.2.14</t>
  </si>
  <si>
    <t>Очистка контейнерной площадки в холодный период</t>
  </si>
  <si>
    <t>3.2.15</t>
  </si>
  <si>
    <t>Уборка мусора на  контейнерных  площадках</t>
  </si>
  <si>
    <t>3.2.16</t>
  </si>
  <si>
    <t>Погрузка мусора на автотранспорт вручную</t>
  </si>
  <si>
    <t>100 куб.м</t>
  </si>
  <si>
    <t>3.2.17</t>
  </si>
  <si>
    <t>Прочистка водоприемной воронки внутреннего водостока</t>
  </si>
  <si>
    <t>1 воронка</t>
  </si>
  <si>
    <t>3.3.1.1</t>
  </si>
  <si>
    <t>Текущий ремонт ограждений газона</t>
  </si>
  <si>
    <t>3.3.1.2</t>
  </si>
  <si>
    <t>Покраска ограждений газона</t>
  </si>
  <si>
    <t>3.3.1.3</t>
  </si>
  <si>
    <t>Ремонт газонов</t>
  </si>
  <si>
    <t>м2 ремонтируемой площади газонов</t>
  </si>
  <si>
    <t>3.3.1.4</t>
  </si>
  <si>
    <t>Ремонт цветников</t>
  </si>
  <si>
    <t>м2</t>
  </si>
  <si>
    <t>3.3.1.5</t>
  </si>
  <si>
    <t>Ремонт асфальтобетонного покрытия проездов</t>
  </si>
  <si>
    <t>3.3.1.6</t>
  </si>
  <si>
    <t>Ремонт тротуаров</t>
  </si>
  <si>
    <t>10 м2</t>
  </si>
  <si>
    <t>3.3.1.7</t>
  </si>
  <si>
    <t>Ремонт бордюров</t>
  </si>
  <si>
    <t>10 пог.м.</t>
  </si>
  <si>
    <t>3.3.2.1</t>
  </si>
  <si>
    <t>Устройство газона</t>
  </si>
  <si>
    <t>3.3.2.2</t>
  </si>
  <si>
    <t>Устройство цветников</t>
  </si>
  <si>
    <t>3.3.2.3</t>
  </si>
  <si>
    <t>Установка скамьи с металлическими опорами</t>
  </si>
  <si>
    <t>3.3.2.4</t>
  </si>
  <si>
    <t>Установка скамьи с бетонными опорами</t>
  </si>
  <si>
    <t>3.3.2.5</t>
  </si>
  <si>
    <t>Установка скамьи чугунной со спинкой</t>
  </si>
  <si>
    <t>3.3.2.6</t>
  </si>
  <si>
    <t>Установка качелей-маятника</t>
  </si>
  <si>
    <t>3.3.2.7</t>
  </si>
  <si>
    <t>Установка качелей-балансира</t>
  </si>
  <si>
    <t>3.3.2.8</t>
  </si>
  <si>
    <t>Устройство песочницы</t>
  </si>
  <si>
    <t>3.3.2.9</t>
  </si>
  <si>
    <t>Установка лианы 3-х секционной</t>
  </si>
  <si>
    <t>3.3.2.10</t>
  </si>
  <si>
    <t>Установка лестницы</t>
  </si>
  <si>
    <t>3.3.2.11</t>
  </si>
  <si>
    <t>Установка турника</t>
  </si>
  <si>
    <t>3.3.2.12</t>
  </si>
  <si>
    <t>Установка металлических ограждений спортивных площадок</t>
  </si>
  <si>
    <t>3.3.2.13</t>
  </si>
  <si>
    <t>Установка деревянных ограждений спортивных площадок</t>
  </si>
  <si>
    <t>3.3.2.14</t>
  </si>
  <si>
    <t>Посадка кустарника</t>
  </si>
  <si>
    <t>кустарник</t>
  </si>
  <si>
    <t>3.3.2.15</t>
  </si>
  <si>
    <t>Посадка дерева</t>
  </si>
  <si>
    <t>3.4.5.6</t>
  </si>
  <si>
    <t>Ремонт окрасочной гидроизоляции цоколя (при приготовлении  мастики)</t>
  </si>
  <si>
    <t>100 м2 окрасочной поверхности</t>
  </si>
  <si>
    <t>ИТОГО:</t>
  </si>
  <si>
    <t>СТОИМОСТЬ, РУБ. за ед.</t>
  </si>
  <si>
    <t>Примечание: расценка может быть откорректирована на стоимость материалов</t>
  </si>
</sst>
</file>

<file path=xl/styles.xml><?xml version="1.0" encoding="utf-8"?>
<styleSheet xmlns="http://schemas.openxmlformats.org/spreadsheetml/2006/main">
  <numFmts count="1">
    <numFmt numFmtId="164" formatCode="#\ ###\ ##0.00"/>
  </numFmts>
  <fonts count="9">
    <font>
      <sz val="11"/>
      <color theme="1"/>
      <name val="Calibri"/>
      <family val="2"/>
      <scheme val="minor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color rgb="FFFFFFFF"/>
      <name val="Calibri"/>
    </font>
    <font>
      <b/>
      <sz val="18"/>
      <color rgb="FF000099"/>
      <name val="Calibri"/>
    </font>
    <font>
      <b/>
      <sz val="11"/>
      <color rgb="FFFFFFFF"/>
      <name val="Calibri"/>
    </font>
    <font>
      <b/>
      <sz val="10"/>
      <color rgb="FFFFFFFF"/>
      <name val="Calibri"/>
    </font>
    <font>
      <b/>
      <sz val="12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9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164" fontId="4" fillId="2" borderId="3" xfId="0" applyNumberFormat="1" applyFont="1" applyFill="1" applyBorder="1" applyAlignment="1">
      <alignment horizontal="center" vertical="center" wrapText="1" indent="1"/>
    </xf>
    <xf numFmtId="0" fontId="1" fillId="0" borderId="4" xfId="0" applyFont="1" applyBorder="1" applyAlignment="1">
      <alignment horizontal="center" vertical="top" wrapText="1" indent="1"/>
    </xf>
    <xf numFmtId="49" fontId="2" fillId="0" borderId="5" xfId="0" applyNumberFormat="1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right" vertical="top" indent="1"/>
    </xf>
    <xf numFmtId="0" fontId="3" fillId="4" borderId="5" xfId="0" applyFont="1" applyFill="1" applyBorder="1" applyAlignment="1">
      <alignment horizontal="right" vertical="top" indent="1"/>
    </xf>
    <xf numFmtId="164" fontId="2" fillId="0" borderId="5" xfId="0" applyNumberFormat="1" applyFont="1" applyBorder="1" applyAlignment="1">
      <alignment horizontal="right" vertical="top" indent="1"/>
    </xf>
    <xf numFmtId="164" fontId="2" fillId="5" borderId="6" xfId="0" applyNumberFormat="1" applyFont="1" applyFill="1" applyBorder="1" applyAlignment="1">
      <alignment horizontal="right" vertical="top" indent="1"/>
    </xf>
    <xf numFmtId="0" fontId="6" fillId="0" borderId="0" xfId="0" applyFont="1" applyAlignment="1">
      <alignment horizontal="right" vertical="center" wrapText="1" indent="1"/>
    </xf>
    <xf numFmtId="164" fontId="6" fillId="2" borderId="2" xfId="0" applyNumberFormat="1" applyFont="1" applyFill="1" applyBorder="1" applyAlignment="1">
      <alignment horizontal="right" vertical="center" wrapText="1" indent="1"/>
    </xf>
    <xf numFmtId="164" fontId="6" fillId="2" borderId="3" xfId="0" applyNumberFormat="1" applyFont="1" applyFill="1" applyBorder="1" applyAlignment="1">
      <alignment horizontal="right" vertical="center" wrapText="1" indent="1"/>
    </xf>
    <xf numFmtId="0" fontId="7" fillId="2" borderId="1" xfId="0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 vertical="top" indent="1"/>
    </xf>
    <xf numFmtId="164" fontId="6" fillId="2" borderId="7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2"/>
  <sheetViews>
    <sheetView tabSelected="1" workbookViewId="0">
      <pane ySplit="3" topLeftCell="A124" activePane="bottomLeft" state="frozen"/>
      <selection pane="bottomLeft" activeCell="C472" sqref="C472"/>
    </sheetView>
  </sheetViews>
  <sheetFormatPr defaultRowHeight="15.75"/>
  <cols>
    <col min="1" max="1" width="6" style="1" customWidth="1"/>
    <col min="2" max="2" width="13" style="2" hidden="1" customWidth="1"/>
    <col min="3" max="3" width="50" style="3" customWidth="1"/>
    <col min="4" max="4" width="20" style="3" customWidth="1"/>
    <col min="5" max="6" width="12" style="4" customWidth="1"/>
    <col min="7" max="8" width="14" style="5" hidden="1" customWidth="1"/>
    <col min="9" max="9" width="13" style="5" hidden="1" customWidth="1"/>
    <col min="10" max="11" width="14" style="5" hidden="1" customWidth="1"/>
    <col min="12" max="12" width="14" style="5" customWidth="1"/>
    <col min="13" max="13" width="17.7109375" style="5" customWidth="1"/>
  </cols>
  <sheetData>
    <row r="1" spans="1:13" ht="23.2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6.5" thickBot="1"/>
    <row r="3" spans="1:13" s="6" customFormat="1" ht="39.950000000000003" customHeight="1" thickTop="1" thickBot="1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1" t="s">
        <v>1120</v>
      </c>
      <c r="M3" s="11" t="s">
        <v>11</v>
      </c>
    </row>
    <row r="4" spans="1:13" ht="16.5" thickTop="1">
      <c r="A4" s="12">
        <v>1</v>
      </c>
      <c r="B4" s="13" t="s">
        <v>13</v>
      </c>
      <c r="C4" s="14" t="s">
        <v>14</v>
      </c>
      <c r="D4" s="14" t="s">
        <v>15</v>
      </c>
      <c r="E4" s="15">
        <v>1</v>
      </c>
      <c r="F4" s="16">
        <v>1</v>
      </c>
      <c r="G4" s="17">
        <f>E4 * F4 * 23409.3496</f>
        <v>23409.349600000001</v>
      </c>
      <c r="H4" s="17">
        <f>E4 * F4 * 395800.880256</f>
        <v>395800.88025599997</v>
      </c>
      <c r="I4" s="17">
        <f>E4 * F4 * 22275.27</f>
        <v>22275.27</v>
      </c>
      <c r="J4" s="17">
        <f>E4 * F4 * 44000.705359</f>
        <v>44000.705359</v>
      </c>
      <c r="K4" s="17">
        <f>E4 * F4 * 74279.389398</f>
        <v>74279.389397999999</v>
      </c>
      <c r="L4" s="24">
        <f>M4/E4/F4/100</f>
        <v>5597.6559461300003</v>
      </c>
      <c r="M4" s="18">
        <f>SUM(G4:K4)</f>
        <v>559765.59461300005</v>
      </c>
    </row>
    <row r="5" spans="1:13">
      <c r="A5" s="12">
        <v>2</v>
      </c>
      <c r="B5" s="13" t="s">
        <v>16</v>
      </c>
      <c r="C5" s="14" t="s">
        <v>17</v>
      </c>
      <c r="D5" s="14" t="s">
        <v>18</v>
      </c>
      <c r="E5" s="15">
        <v>1</v>
      </c>
      <c r="F5" s="16">
        <v>1</v>
      </c>
      <c r="G5" s="17">
        <f>E5 * F5 * 1096.26724</f>
        <v>1096.2672399999999</v>
      </c>
      <c r="H5" s="17">
        <f>E5 * F5 * 13484.73564</f>
        <v>13484.735640000001</v>
      </c>
      <c r="I5" s="17">
        <f>E5 * F5 * 14166.6035</f>
        <v>14166.603499999999</v>
      </c>
      <c r="J5" s="17">
        <f>E5 * F5 * 8963.945747</f>
        <v>8963.9457469999998</v>
      </c>
      <c r="K5" s="17">
        <f>E5 * F5 * 5769.867475</f>
        <v>5769.867475</v>
      </c>
      <c r="L5" s="24">
        <f>M5/E5/F5</f>
        <v>43481.419601999994</v>
      </c>
      <c r="M5" s="18">
        <f>SUM(G5:K5)</f>
        <v>43481.419601999994</v>
      </c>
    </row>
    <row r="6" spans="1:13" ht="25.5">
      <c r="A6" s="12">
        <v>3</v>
      </c>
      <c r="B6" s="13" t="s">
        <v>19</v>
      </c>
      <c r="C6" s="14" t="s">
        <v>20</v>
      </c>
      <c r="D6" s="14" t="s">
        <v>21</v>
      </c>
      <c r="E6" s="15">
        <v>1</v>
      </c>
      <c r="F6" s="16">
        <v>1</v>
      </c>
      <c r="G6" s="17">
        <f>E6 * F6 * 11202.78403</f>
        <v>11202.784030000001</v>
      </c>
      <c r="H6" s="17">
        <f>E6 * F6 * 134299.7226</f>
        <v>134299.72260000001</v>
      </c>
      <c r="I6" s="17">
        <f>E6 * F6 * 0</f>
        <v>0</v>
      </c>
      <c r="J6" s="17">
        <f>E6 * F6 * 11225.189598</f>
        <v>11225.189598000001</v>
      </c>
      <c r="K6" s="17">
        <f>E6 * F6 * 23979.337523</f>
        <v>23979.337522999998</v>
      </c>
      <c r="L6" s="24">
        <f t="shared" ref="L5:L68" si="0">M6/E6/F6/100</f>
        <v>1807.0703375100002</v>
      </c>
      <c r="M6" s="18">
        <f>SUM(G6:K6)</f>
        <v>180707.03375100001</v>
      </c>
    </row>
    <row r="7" spans="1:13">
      <c r="A7" s="12">
        <v>4</v>
      </c>
      <c r="B7" s="13" t="s">
        <v>22</v>
      </c>
      <c r="C7" s="14" t="s">
        <v>23</v>
      </c>
      <c r="D7" s="14" t="s">
        <v>24</v>
      </c>
      <c r="E7" s="15">
        <v>1</v>
      </c>
      <c r="F7" s="16">
        <v>1</v>
      </c>
      <c r="G7" s="17">
        <f>E7 * F7 * 442.468125</f>
        <v>442.46812499999999</v>
      </c>
      <c r="H7" s="17">
        <f>E7 * F7 * 1206.303072</f>
        <v>1206.3030719999999</v>
      </c>
      <c r="I7" s="17">
        <f>E7 * F7 * 0</f>
        <v>0</v>
      </c>
      <c r="J7" s="17">
        <f>E7 * F7 * 443.353062</f>
        <v>443.35306200000002</v>
      </c>
      <c r="K7" s="17">
        <f>E7 * F7 * 320.095012</f>
        <v>320.095012</v>
      </c>
      <c r="L7" s="24">
        <f>M7/E7/F7</f>
        <v>2412.2192709999999</v>
      </c>
      <c r="M7" s="18">
        <f>SUM(G7:K7)</f>
        <v>2412.2192709999999</v>
      </c>
    </row>
    <row r="8" spans="1:13">
      <c r="A8" s="12">
        <v>5</v>
      </c>
      <c r="B8" s="13" t="s">
        <v>25</v>
      </c>
      <c r="C8" s="14" t="s">
        <v>26</v>
      </c>
      <c r="D8" s="14" t="s">
        <v>27</v>
      </c>
      <c r="E8" s="15">
        <v>1</v>
      </c>
      <c r="F8" s="16">
        <v>1</v>
      </c>
      <c r="G8" s="17">
        <f>E8 * F8 * 8992.877275</f>
        <v>8992.8772750000007</v>
      </c>
      <c r="H8" s="17">
        <f>E8 * F8 * 67538.05224</f>
        <v>67538.052240000005</v>
      </c>
      <c r="I8" s="17">
        <f>E8 * F8 * 0</f>
        <v>0</v>
      </c>
      <c r="J8" s="17">
        <f>E8 * F8 * 9010.86303</f>
        <v>9010.8630300000004</v>
      </c>
      <c r="K8" s="17">
        <f>E8 * F8 * 13087.894259</f>
        <v>13087.894259000001</v>
      </c>
      <c r="L8" s="24">
        <f t="shared" si="0"/>
        <v>986.29686803999994</v>
      </c>
      <c r="M8" s="18">
        <f>SUM(G8:K8)</f>
        <v>98629.686803999997</v>
      </c>
    </row>
    <row r="9" spans="1:13" ht="38.25">
      <c r="A9" s="12">
        <v>6</v>
      </c>
      <c r="B9" s="13" t="s">
        <v>28</v>
      </c>
      <c r="C9" s="14" t="s">
        <v>29</v>
      </c>
      <c r="D9" s="14" t="s">
        <v>30</v>
      </c>
      <c r="E9" s="15">
        <v>1</v>
      </c>
      <c r="F9" s="16">
        <v>1</v>
      </c>
      <c r="G9" s="17">
        <f>E9 * F9 * 28157.0625</f>
        <v>28157.0625</v>
      </c>
      <c r="H9" s="17">
        <f>E9 * F9 * 118716.014724</f>
        <v>118716.01472399999</v>
      </c>
      <c r="I9" s="17">
        <f>E9 * F9 * 20760.6</f>
        <v>20760.599999999999</v>
      </c>
      <c r="J9" s="17">
        <f>E9 * F9 * 28213.3766249999</f>
        <v>28213.376624999899</v>
      </c>
      <c r="K9" s="17">
        <f>E9 * F9 * 29964.599239</f>
        <v>29964.599238999999</v>
      </c>
      <c r="L9" s="24">
        <f t="shared" si="0"/>
        <v>2258.1165308799991</v>
      </c>
      <c r="M9" s="18">
        <f>SUM(G9:K9)</f>
        <v>225811.6530879999</v>
      </c>
    </row>
    <row r="10" spans="1:13" ht="38.25">
      <c r="A10" s="12">
        <v>7</v>
      </c>
      <c r="B10" s="13" t="s">
        <v>31</v>
      </c>
      <c r="C10" s="14" t="s">
        <v>32</v>
      </c>
      <c r="D10" s="14" t="s">
        <v>33</v>
      </c>
      <c r="E10" s="15">
        <v>1</v>
      </c>
      <c r="F10" s="16">
        <v>1</v>
      </c>
      <c r="G10" s="17">
        <f>E10 * F10 * 113507.316</f>
        <v>113507.31600000001</v>
      </c>
      <c r="H10" s="17">
        <f>E10 * F10 * 118716.014724</f>
        <v>118716.01472399999</v>
      </c>
      <c r="I10" s="17">
        <f>E10 * F10 * 0</f>
        <v>0</v>
      </c>
      <c r="J10" s="17">
        <f>E10 * F10 * 113734.330632</f>
        <v>113734.330632</v>
      </c>
      <c r="K10" s="17">
        <f>E10 * F10 * 52931.522188</f>
        <v>52931.522188000003</v>
      </c>
      <c r="L10" s="24">
        <f t="shared" si="0"/>
        <v>3988.8918354400002</v>
      </c>
      <c r="M10" s="18">
        <f>SUM(G10:K10)</f>
        <v>398889.18354400003</v>
      </c>
    </row>
    <row r="11" spans="1:13" ht="38.25">
      <c r="A11" s="12">
        <v>8</v>
      </c>
      <c r="B11" s="13" t="s">
        <v>34</v>
      </c>
      <c r="C11" s="14" t="s">
        <v>35</v>
      </c>
      <c r="D11" s="14" t="s">
        <v>36</v>
      </c>
      <c r="E11" s="15">
        <v>1</v>
      </c>
      <c r="F11" s="16">
        <v>1</v>
      </c>
      <c r="G11" s="17">
        <f>E11 * F11 * 16022.47275</f>
        <v>16022.472750000001</v>
      </c>
      <c r="H11" s="17">
        <f>E11 * F11 * 20619.551935</f>
        <v>20619.551935</v>
      </c>
      <c r="I11" s="17">
        <f>E11 * F11 * 0</f>
        <v>0</v>
      </c>
      <c r="J11" s="17">
        <f>E11 * F11 * 16054.5176959999</f>
        <v>16054.517695999901</v>
      </c>
      <c r="K11" s="17">
        <f>E11 * F11 * 8062.570985</f>
        <v>8062.5709850000003</v>
      </c>
      <c r="L11" s="24">
        <f t="shared" si="0"/>
        <v>607.59113365999895</v>
      </c>
      <c r="M11" s="18">
        <f>SUM(G11:K11)</f>
        <v>60759.113365999896</v>
      </c>
    </row>
    <row r="12" spans="1:13" ht="38.25">
      <c r="A12" s="12">
        <v>9</v>
      </c>
      <c r="B12" s="13" t="s">
        <v>37</v>
      </c>
      <c r="C12" s="14" t="s">
        <v>38</v>
      </c>
      <c r="D12" s="14" t="s">
        <v>36</v>
      </c>
      <c r="E12" s="15">
        <v>1</v>
      </c>
      <c r="F12" s="16">
        <v>1</v>
      </c>
      <c r="G12" s="17">
        <f>E12 * F12 * 23220.975</f>
        <v>23220.974999999999</v>
      </c>
      <c r="H12" s="17">
        <f>E12 * F12 * 30929.327903</f>
        <v>30929.327903000001</v>
      </c>
      <c r="I12" s="17">
        <f>E12 * F12 * 0</f>
        <v>0</v>
      </c>
      <c r="J12" s="17">
        <f>E12 * F12 * 23267.41695</f>
        <v>23267.416949999999</v>
      </c>
      <c r="K12" s="17">
        <f>E12 * F12 * 11844.911137</f>
        <v>11844.911136999999</v>
      </c>
      <c r="L12" s="24">
        <f t="shared" si="0"/>
        <v>892.62630990000002</v>
      </c>
      <c r="M12" s="18">
        <f>SUM(G12:K12)</f>
        <v>89262.630990000005</v>
      </c>
    </row>
    <row r="13" spans="1:13" ht="38.25">
      <c r="A13" s="12">
        <v>10</v>
      </c>
      <c r="B13" s="13" t="s">
        <v>39</v>
      </c>
      <c r="C13" s="14" t="s">
        <v>40</v>
      </c>
      <c r="D13" s="14" t="s">
        <v>36</v>
      </c>
      <c r="E13" s="15">
        <v>1</v>
      </c>
      <c r="F13" s="16">
        <v>1</v>
      </c>
      <c r="G13" s="17">
        <f>E13 * F13 * 25543.0725</f>
        <v>25543.072499999998</v>
      </c>
      <c r="H13" s="17">
        <f>E13 * F13 * 41239.10387</f>
        <v>41239.103869999999</v>
      </c>
      <c r="I13" s="17">
        <f>E13 * F13 * 0</f>
        <v>0</v>
      </c>
      <c r="J13" s="17">
        <f>E13 * F13 * 25594.158645</f>
        <v>25594.158645</v>
      </c>
      <c r="K13" s="17">
        <f>E13 * F13 * 14133.579257</f>
        <v>14133.579256999999</v>
      </c>
      <c r="L13" s="24">
        <f t="shared" si="0"/>
        <v>1065.0991427200001</v>
      </c>
      <c r="M13" s="18">
        <f>SUM(G13:K13)</f>
        <v>106509.91427200001</v>
      </c>
    </row>
    <row r="14" spans="1:13" ht="38.25">
      <c r="A14" s="12">
        <v>11</v>
      </c>
      <c r="B14" s="13" t="s">
        <v>41</v>
      </c>
      <c r="C14" s="14" t="s">
        <v>42</v>
      </c>
      <c r="D14" s="14" t="s">
        <v>36</v>
      </c>
      <c r="E14" s="15">
        <v>1</v>
      </c>
      <c r="F14" s="16">
        <v>1</v>
      </c>
      <c r="G14" s="17">
        <f>E14 * F14 * 37153.56</f>
        <v>37153.56</v>
      </c>
      <c r="H14" s="17">
        <f>E14 * F14 * 82478.207741</f>
        <v>82478.207741000006</v>
      </c>
      <c r="I14" s="17">
        <f>E14 * F14 * 0</f>
        <v>0</v>
      </c>
      <c r="J14" s="17">
        <f>E14 * F14 * 37227.8671199999</f>
        <v>37227.867119999901</v>
      </c>
      <c r="K14" s="17">
        <f>E14 * F14 * 23999.524133</f>
        <v>23999.524132999999</v>
      </c>
      <c r="L14" s="24">
        <f t="shared" si="0"/>
        <v>1808.591589939999</v>
      </c>
      <c r="M14" s="18">
        <f>SUM(G14:K14)</f>
        <v>180859.15899399991</v>
      </c>
    </row>
    <row r="15" spans="1:13" ht="38.25">
      <c r="A15" s="12">
        <v>12</v>
      </c>
      <c r="B15" s="13" t="s">
        <v>43</v>
      </c>
      <c r="C15" s="14" t="s">
        <v>44</v>
      </c>
      <c r="D15" s="14" t="s">
        <v>30</v>
      </c>
      <c r="E15" s="15">
        <v>1</v>
      </c>
      <c r="F15" s="16">
        <v>1</v>
      </c>
      <c r="G15" s="17">
        <f>E15 * F15 * 69838.795</f>
        <v>69838.794999999998</v>
      </c>
      <c r="H15" s="17">
        <f>E15 * F15 * 29139.03</f>
        <v>29139.03</v>
      </c>
      <c r="I15" s="17">
        <f>E15 * F15 * 25703.6</f>
        <v>25703.599999999999</v>
      </c>
      <c r="J15" s="17">
        <f>E15 * F15 * 69978.4725899999</f>
        <v>69978.472589999903</v>
      </c>
      <c r="K15" s="17">
        <f>E15 * F15 * 29782.964331</f>
        <v>29782.964330999999</v>
      </c>
      <c r="L15" s="24">
        <f t="shared" si="0"/>
        <v>2244.4286192099989</v>
      </c>
      <c r="M15" s="18">
        <f>SUM(G15:K15)</f>
        <v>224442.86192099989</v>
      </c>
    </row>
    <row r="16" spans="1:13" ht="25.5">
      <c r="A16" s="12">
        <v>13</v>
      </c>
      <c r="B16" s="13" t="s">
        <v>45</v>
      </c>
      <c r="C16" s="14" t="s">
        <v>46</v>
      </c>
      <c r="D16" s="14" t="s">
        <v>47</v>
      </c>
      <c r="E16" s="15">
        <v>1</v>
      </c>
      <c r="F16" s="16">
        <v>1</v>
      </c>
      <c r="G16" s="17">
        <f>E16 * F16 * 2904.943972</f>
        <v>2904.943972</v>
      </c>
      <c r="H16" s="17">
        <f>E16 * F16 * 1332.68008</f>
        <v>1332.6800800000001</v>
      </c>
      <c r="I16" s="17">
        <f>E16 * F16 * 1235.75</f>
        <v>1235.75</v>
      </c>
      <c r="J16" s="17">
        <f>E16 * F16 * 2910.75386</f>
        <v>2910.7538599999998</v>
      </c>
      <c r="K16" s="17">
        <f>E16 * F16 * 1282.77157</f>
        <v>1282.7715700000001</v>
      </c>
      <c r="L16" s="24">
        <f t="shared" si="0"/>
        <v>96.668994820000009</v>
      </c>
      <c r="M16" s="18">
        <f>SUM(G16:K16)</f>
        <v>9666.8994820000007</v>
      </c>
    </row>
    <row r="17" spans="1:13" ht="25.5">
      <c r="A17" s="12">
        <v>14</v>
      </c>
      <c r="B17" s="13" t="s">
        <v>48</v>
      </c>
      <c r="C17" s="14" t="s">
        <v>49</v>
      </c>
      <c r="D17" s="14" t="s">
        <v>47</v>
      </c>
      <c r="E17" s="15">
        <v>1</v>
      </c>
      <c r="F17" s="16">
        <v>1</v>
      </c>
      <c r="G17" s="17">
        <f>E17 * F17 * 5610.662</f>
        <v>5610.6620000000003</v>
      </c>
      <c r="H17" s="17">
        <f>E17 * F17 * 3769.627227</f>
        <v>3769.6272269999999</v>
      </c>
      <c r="I17" s="17">
        <f>E17 * F17 * 1502.672</f>
        <v>1502.672</v>
      </c>
      <c r="J17" s="17">
        <f>E17 * F17 * 5621.883324</f>
        <v>5621.8833240000004</v>
      </c>
      <c r="K17" s="17">
        <f>E17 * F17 * 2525.241216</f>
        <v>2525.2412159999999</v>
      </c>
      <c r="L17" s="24">
        <f t="shared" si="0"/>
        <v>190.30085767</v>
      </c>
      <c r="M17" s="18">
        <f>SUM(G17:K17)</f>
        <v>19030.085767</v>
      </c>
    </row>
    <row r="18" spans="1:13" ht="25.5">
      <c r="A18" s="12">
        <v>15</v>
      </c>
      <c r="B18" s="13" t="s">
        <v>50</v>
      </c>
      <c r="C18" s="14" t="s">
        <v>51</v>
      </c>
      <c r="D18" s="14" t="s">
        <v>52</v>
      </c>
      <c r="E18" s="15">
        <v>1</v>
      </c>
      <c r="F18" s="16">
        <v>1</v>
      </c>
      <c r="G18" s="17">
        <f>E18 * F18 * 3018.72675</f>
        <v>3018.7267499999998</v>
      </c>
      <c r="H18" s="17">
        <f>E18 * F18 * 900.950554</f>
        <v>900.95055400000001</v>
      </c>
      <c r="I18" s="17">
        <f t="shared" ref="I18:I26" si="1">E18 * F18 * 0</f>
        <v>0</v>
      </c>
      <c r="J18" s="17">
        <f>E18 * F18 * 3024.764203</f>
        <v>3024.7642030000002</v>
      </c>
      <c r="K18" s="17">
        <f>E18 * F18 * 1062.499551</f>
        <v>1062.4995510000001</v>
      </c>
      <c r="L18" s="24">
        <f t="shared" si="0"/>
        <v>80.069410579999996</v>
      </c>
      <c r="M18" s="18">
        <f>SUM(G18:K18)</f>
        <v>8006.9410579999994</v>
      </c>
    </row>
    <row r="19" spans="1:13" ht="25.5">
      <c r="A19" s="12">
        <v>16</v>
      </c>
      <c r="B19" s="13" t="s">
        <v>53</v>
      </c>
      <c r="C19" s="14" t="s">
        <v>54</v>
      </c>
      <c r="D19" s="14" t="s">
        <v>52</v>
      </c>
      <c r="E19" s="15">
        <v>1</v>
      </c>
      <c r="F19" s="16">
        <v>1</v>
      </c>
      <c r="G19" s="17">
        <f>E19 * F19 * 10217.229</f>
        <v>10217.228999999999</v>
      </c>
      <c r="H19" s="17">
        <f>E19 * F19 * 2278.203896</f>
        <v>2278.203896</v>
      </c>
      <c r="I19" s="17">
        <f t="shared" si="1"/>
        <v>0</v>
      </c>
      <c r="J19" s="17">
        <f>E19 * F19 * 10237.6634579999</f>
        <v>10237.663457999901</v>
      </c>
      <c r="K19" s="17">
        <f>E19 * F19 * 3478.163742</f>
        <v>3478.1637420000002</v>
      </c>
      <c r="L19" s="24">
        <f t="shared" si="0"/>
        <v>262.11260095999899</v>
      </c>
      <c r="M19" s="18">
        <f>SUM(G19:K19)</f>
        <v>26211.2600959999</v>
      </c>
    </row>
    <row r="20" spans="1:13" ht="25.5">
      <c r="A20" s="12">
        <v>17</v>
      </c>
      <c r="B20" s="13" t="s">
        <v>55</v>
      </c>
      <c r="C20" s="14" t="s">
        <v>56</v>
      </c>
      <c r="D20" s="14" t="s">
        <v>52</v>
      </c>
      <c r="E20" s="15">
        <v>1</v>
      </c>
      <c r="F20" s="16">
        <v>1</v>
      </c>
      <c r="G20" s="17">
        <f>E20 * F20 * 12888.408</f>
        <v>12888.407999999999</v>
      </c>
      <c r="H20" s="17">
        <f>E20 * F20 * 6860.755095</f>
        <v>6860.7550950000004</v>
      </c>
      <c r="I20" s="17">
        <f t="shared" si="1"/>
        <v>0</v>
      </c>
      <c r="J20" s="17">
        <f>E20 * F20 * 12914.1848159999</f>
        <v>12914.184815999901</v>
      </c>
      <c r="K20" s="17">
        <f>E20 * F20 * 4997.49223</f>
        <v>4997.4922299999998</v>
      </c>
      <c r="L20" s="24">
        <f t="shared" si="0"/>
        <v>376.60840140999903</v>
      </c>
      <c r="M20" s="18">
        <f>SUM(G20:K20)</f>
        <v>37660.840140999906</v>
      </c>
    </row>
    <row r="21" spans="1:13" ht="25.5">
      <c r="A21" s="12">
        <v>18</v>
      </c>
      <c r="B21" s="13" t="s">
        <v>57</v>
      </c>
      <c r="C21" s="14" t="s">
        <v>58</v>
      </c>
      <c r="D21" s="14" t="s">
        <v>59</v>
      </c>
      <c r="E21" s="15">
        <v>1</v>
      </c>
      <c r="F21" s="16">
        <v>1</v>
      </c>
      <c r="G21" s="17">
        <f>E21 * F21 * 49570.8</f>
        <v>49570.8</v>
      </c>
      <c r="H21" s="17">
        <f>E21 * F21 * 27942.973059</f>
        <v>27942.973059</v>
      </c>
      <c r="I21" s="17">
        <f t="shared" si="1"/>
        <v>0</v>
      </c>
      <c r="J21" s="17">
        <f>E21 * F21 * 49669.9416</f>
        <v>49669.941599999998</v>
      </c>
      <c r="K21" s="17">
        <f>E21 * F21 * 19459.108343</f>
        <v>19459.108343</v>
      </c>
      <c r="L21" s="24">
        <f t="shared" si="0"/>
        <v>1466.42823002</v>
      </c>
      <c r="M21" s="18">
        <f>SUM(G21:K21)</f>
        <v>146642.82300199999</v>
      </c>
    </row>
    <row r="22" spans="1:13">
      <c r="A22" s="12">
        <v>19</v>
      </c>
      <c r="B22" s="13" t="s">
        <v>60</v>
      </c>
      <c r="C22" s="14" t="s">
        <v>61</v>
      </c>
      <c r="D22" s="14" t="s">
        <v>59</v>
      </c>
      <c r="E22" s="15">
        <v>1</v>
      </c>
      <c r="F22" s="16">
        <v>1</v>
      </c>
      <c r="G22" s="17">
        <f>E22 * F22 * 3263.06335</f>
        <v>3263.0633499999999</v>
      </c>
      <c r="H22" s="17">
        <f>E22 * F22 * 1064.265686</f>
        <v>1064.265686</v>
      </c>
      <c r="I22" s="17">
        <f t="shared" si="1"/>
        <v>0</v>
      </c>
      <c r="J22" s="17">
        <f>E22 * F22 * 3269.589477</f>
        <v>3269.589477</v>
      </c>
      <c r="K22" s="17">
        <f>E22 * F22 * 1162.32853299999</f>
        <v>1162.3285329999901</v>
      </c>
      <c r="L22" s="24">
        <f t="shared" si="0"/>
        <v>87.592470459999916</v>
      </c>
      <c r="M22" s="18">
        <f>SUM(G22:K22)</f>
        <v>8759.2470459999913</v>
      </c>
    </row>
    <row r="23" spans="1:13">
      <c r="A23" s="12">
        <v>20</v>
      </c>
      <c r="B23" s="13" t="s">
        <v>62</v>
      </c>
      <c r="C23" s="14" t="s">
        <v>63</v>
      </c>
      <c r="D23" s="14" t="s">
        <v>59</v>
      </c>
      <c r="E23" s="15">
        <v>1</v>
      </c>
      <c r="F23" s="16">
        <v>1</v>
      </c>
      <c r="G23" s="17">
        <f>E23 * F23 * 5452.788</f>
        <v>5452.7879999999996</v>
      </c>
      <c r="H23" s="17">
        <f>E23 * F23 * 1195.596566</f>
        <v>1195.5965659999999</v>
      </c>
      <c r="I23" s="17">
        <f t="shared" si="1"/>
        <v>0</v>
      </c>
      <c r="J23" s="17">
        <f>E23 * F23 * 5463.693576</f>
        <v>5463.6935759999997</v>
      </c>
      <c r="K23" s="17">
        <f>E23 * F23 * 1853.14795599999</f>
        <v>1853.14795599999</v>
      </c>
      <c r="L23" s="24">
        <f t="shared" si="0"/>
        <v>139.65226097999988</v>
      </c>
      <c r="M23" s="18">
        <f>SUM(G23:K23)</f>
        <v>13965.226097999988</v>
      </c>
    </row>
    <row r="24" spans="1:13" ht="25.5">
      <c r="A24" s="12">
        <v>21</v>
      </c>
      <c r="B24" s="13" t="s">
        <v>64</v>
      </c>
      <c r="C24" s="14" t="s">
        <v>65</v>
      </c>
      <c r="D24" s="14" t="s">
        <v>66</v>
      </c>
      <c r="E24" s="15">
        <v>1</v>
      </c>
      <c r="F24" s="16">
        <v>1</v>
      </c>
      <c r="G24" s="17">
        <f>E24 * F24 * 3715.356</f>
        <v>3715.3560000000002</v>
      </c>
      <c r="H24" s="17">
        <f>E24 * F24 * 973.201685</f>
        <v>973.201685</v>
      </c>
      <c r="I24" s="17">
        <f t="shared" si="1"/>
        <v>0</v>
      </c>
      <c r="J24" s="17">
        <f>E24 * F24 * 3722.786712</f>
        <v>3722.7867120000001</v>
      </c>
      <c r="K24" s="17">
        <f>E24 * F24 * 1286.935693</f>
        <v>1286.9356929999999</v>
      </c>
      <c r="L24" s="24">
        <f t="shared" si="0"/>
        <v>96.982800900000001</v>
      </c>
      <c r="M24" s="18">
        <f>SUM(G24:K24)</f>
        <v>9698.2800900000002</v>
      </c>
    </row>
    <row r="25" spans="1:13">
      <c r="A25" s="12">
        <v>22</v>
      </c>
      <c r="B25" s="13" t="s">
        <v>67</v>
      </c>
      <c r="C25" s="14" t="s">
        <v>68</v>
      </c>
      <c r="D25" s="14" t="s">
        <v>66</v>
      </c>
      <c r="E25" s="15">
        <v>1</v>
      </c>
      <c r="F25" s="16">
        <v>1</v>
      </c>
      <c r="G25" s="17">
        <f>E25 * F25 * 11146.068</f>
        <v>11146.067999999999</v>
      </c>
      <c r="H25" s="17">
        <f>E25 * F25 * 2347.525978</f>
        <v>2347.5259780000001</v>
      </c>
      <c r="I25" s="17">
        <f t="shared" si="1"/>
        <v>0</v>
      </c>
      <c r="J25" s="17">
        <f>E25 * F25 * 11168.360136</f>
        <v>11168.360135999999</v>
      </c>
      <c r="K25" s="17">
        <f>E25 * F25 * 3773.27898</f>
        <v>3773.27898</v>
      </c>
      <c r="L25" s="24">
        <f t="shared" si="0"/>
        <v>284.35233094</v>
      </c>
      <c r="M25" s="18">
        <f>SUM(G25:K25)</f>
        <v>28435.233093999999</v>
      </c>
    </row>
    <row r="26" spans="1:13" ht="25.5">
      <c r="A26" s="12">
        <v>23</v>
      </c>
      <c r="B26" s="13" t="s">
        <v>69</v>
      </c>
      <c r="C26" s="14" t="s">
        <v>70</v>
      </c>
      <c r="D26" s="14" t="s">
        <v>66</v>
      </c>
      <c r="E26" s="15">
        <v>1</v>
      </c>
      <c r="F26" s="16">
        <v>1</v>
      </c>
      <c r="G26" s="17">
        <f>E26 * F26 * 14623.386</f>
        <v>14623.386</v>
      </c>
      <c r="H26" s="17">
        <f>E26 * F26 * 7454.75741</f>
        <v>7454.7574100000002</v>
      </c>
      <c r="I26" s="17">
        <f t="shared" si="1"/>
        <v>0</v>
      </c>
      <c r="J26" s="17">
        <f>E26 * F26 * 14652.6327719999</f>
        <v>14652.632771999901</v>
      </c>
      <c r="K26" s="17">
        <f>E26 * F26 * 5619.808756</f>
        <v>5619.8087560000004</v>
      </c>
      <c r="L26" s="24">
        <f t="shared" si="0"/>
        <v>423.50584937999901</v>
      </c>
      <c r="M26" s="18">
        <f>SUM(G26:K26)</f>
        <v>42350.584937999898</v>
      </c>
    </row>
    <row r="27" spans="1:13" ht="25.5">
      <c r="A27" s="12">
        <v>24</v>
      </c>
      <c r="B27" s="13" t="s">
        <v>71</v>
      </c>
      <c r="C27" s="14" t="s">
        <v>72</v>
      </c>
      <c r="D27" s="14" t="s">
        <v>73</v>
      </c>
      <c r="E27" s="15">
        <v>1</v>
      </c>
      <c r="F27" s="16">
        <v>1</v>
      </c>
      <c r="G27" s="17">
        <f>E27 * F27 * 173.91907</f>
        <v>173.91907</v>
      </c>
      <c r="H27" s="17">
        <f>E27 * F27 * 3631.965189</f>
        <v>3631.965189</v>
      </c>
      <c r="I27" s="17">
        <f>E27 * F27 * 0.0558</f>
        <v>5.5800000000000002E-2</v>
      </c>
      <c r="J27" s="17">
        <f>E27 * F27 * 174.266908</f>
        <v>174.266908</v>
      </c>
      <c r="K27" s="17">
        <f>E27 * F27 * 608.971666</f>
        <v>608.97166600000003</v>
      </c>
      <c r="L27" s="24">
        <f>M27/E27/F27</f>
        <v>4589.1786330000004</v>
      </c>
      <c r="M27" s="18">
        <f>SUM(G27:K27)</f>
        <v>4589.1786330000004</v>
      </c>
    </row>
    <row r="28" spans="1:13">
      <c r="A28" s="12">
        <v>25</v>
      </c>
      <c r="B28" s="13" t="s">
        <v>74</v>
      </c>
      <c r="C28" s="14" t="s">
        <v>75</v>
      </c>
      <c r="D28" s="14" t="s">
        <v>76</v>
      </c>
      <c r="E28" s="15">
        <v>1</v>
      </c>
      <c r="F28" s="16">
        <v>1</v>
      </c>
      <c r="G28" s="17">
        <f>E28 * F28 * 911.93912</f>
        <v>911.93912</v>
      </c>
      <c r="H28" s="17">
        <f>E28 * F28 * 1263.897793</f>
        <v>1263.8977930000001</v>
      </c>
      <c r="I28" s="17">
        <f t="shared" ref="I28:I35" si="2">E28 * F28 * 0</f>
        <v>0</v>
      </c>
      <c r="J28" s="17">
        <f>E28 * F28 * 913.762998</f>
        <v>913.76299800000004</v>
      </c>
      <c r="K28" s="17">
        <f>E28 * F28 * 472.708786</f>
        <v>472.70878599999998</v>
      </c>
      <c r="L28" s="24">
        <f>M28/E28/F28</f>
        <v>3562.3086970000004</v>
      </c>
      <c r="M28" s="18">
        <f>SUM(G28:K28)</f>
        <v>3562.3086970000004</v>
      </c>
    </row>
    <row r="29" spans="1:13" ht="25.5">
      <c r="A29" s="12">
        <v>26</v>
      </c>
      <c r="B29" s="13" t="s">
        <v>77</v>
      </c>
      <c r="C29" s="14" t="s">
        <v>78</v>
      </c>
      <c r="D29" s="14" t="s">
        <v>79</v>
      </c>
      <c r="E29" s="15">
        <v>1</v>
      </c>
      <c r="F29" s="16">
        <v>1</v>
      </c>
      <c r="G29" s="17">
        <f>E29 * F29 * 1188.4313</f>
        <v>1188.4313</v>
      </c>
      <c r="H29" s="17">
        <f>E29 * F29 * 2607.76818</f>
        <v>2607.76818</v>
      </c>
      <c r="I29" s="17">
        <f t="shared" si="2"/>
        <v>0</v>
      </c>
      <c r="J29" s="17">
        <f>E29 * F29 * 1190.808163</f>
        <v>1190.8081629999999</v>
      </c>
      <c r="K29" s="17">
        <f>E29 * F29 * 763.012169</f>
        <v>763.01216899999997</v>
      </c>
      <c r="L29" s="24">
        <f t="shared" si="0"/>
        <v>57.500198119999993</v>
      </c>
      <c r="M29" s="18">
        <f>SUM(G29:K29)</f>
        <v>5750.0198119999995</v>
      </c>
    </row>
    <row r="30" spans="1:13">
      <c r="A30" s="12">
        <v>27</v>
      </c>
      <c r="B30" s="13" t="s">
        <v>80</v>
      </c>
      <c r="C30" s="14" t="s">
        <v>81</v>
      </c>
      <c r="D30" s="14" t="s">
        <v>82</v>
      </c>
      <c r="E30" s="15">
        <v>1</v>
      </c>
      <c r="F30" s="16">
        <v>1</v>
      </c>
      <c r="G30" s="17">
        <f>E30 * F30 * 145.5222</f>
        <v>145.5222</v>
      </c>
      <c r="H30" s="17">
        <f>E30 * F30 * 34.272423</f>
        <v>34.272423000000003</v>
      </c>
      <c r="I30" s="17">
        <f t="shared" si="2"/>
        <v>0</v>
      </c>
      <c r="J30" s="17">
        <f>E30 * F30 * 145.813244</f>
        <v>145.813244</v>
      </c>
      <c r="K30" s="17">
        <f>E30 * F30 * 49.818004</f>
        <v>49.818004000000002</v>
      </c>
      <c r="L30" s="24">
        <f>M30/E30/F30</f>
        <v>375.42587100000003</v>
      </c>
      <c r="M30" s="18">
        <f>SUM(G30:K30)</f>
        <v>375.42587100000003</v>
      </c>
    </row>
    <row r="31" spans="1:13" ht="25.5">
      <c r="A31" s="12">
        <v>28</v>
      </c>
      <c r="B31" s="13" t="s">
        <v>83</v>
      </c>
      <c r="C31" s="14" t="s">
        <v>84</v>
      </c>
      <c r="D31" s="14" t="s">
        <v>85</v>
      </c>
      <c r="E31" s="15">
        <v>1</v>
      </c>
      <c r="F31" s="16">
        <v>1</v>
      </c>
      <c r="G31" s="17">
        <f>E31 * F31 * 19269.63234</f>
        <v>19269.63234</v>
      </c>
      <c r="H31" s="17">
        <f>E31 * F31 * 3972.154868</f>
        <v>3972.1548680000001</v>
      </c>
      <c r="I31" s="17">
        <f t="shared" si="2"/>
        <v>0</v>
      </c>
      <c r="J31" s="17">
        <f>E31 * F31 * 19308.171605</f>
        <v>19308.171605</v>
      </c>
      <c r="K31" s="17">
        <f>E31 * F31 * 6510.143699</f>
        <v>6510.1436990000002</v>
      </c>
      <c r="L31" s="24">
        <f t="shared" si="0"/>
        <v>490.60102512000003</v>
      </c>
      <c r="M31" s="18">
        <f>SUM(G31:K31)</f>
        <v>49060.102512000005</v>
      </c>
    </row>
    <row r="32" spans="1:13" ht="25.5">
      <c r="A32" s="12">
        <v>29</v>
      </c>
      <c r="B32" s="13" t="s">
        <v>86</v>
      </c>
      <c r="C32" s="14" t="s">
        <v>87</v>
      </c>
      <c r="D32" s="14" t="s">
        <v>88</v>
      </c>
      <c r="E32" s="15">
        <v>1</v>
      </c>
      <c r="F32" s="16">
        <v>1</v>
      </c>
      <c r="G32" s="17">
        <f>E32 * F32 * 298.32051</f>
        <v>298.32051000000001</v>
      </c>
      <c r="H32" s="17">
        <f>E32 * F32 * 661.476096</f>
        <v>661.47609599999998</v>
      </c>
      <c r="I32" s="17">
        <f t="shared" si="2"/>
        <v>0</v>
      </c>
      <c r="J32" s="17">
        <f>E32 * F32 * 298.917151</f>
        <v>298.91715099999999</v>
      </c>
      <c r="K32" s="17">
        <f>E32 * F32 * 192.583205</f>
        <v>192.58320499999999</v>
      </c>
      <c r="L32" s="24">
        <f>M32/E32/F32/10</f>
        <v>145.12969619999998</v>
      </c>
      <c r="M32" s="18">
        <f>SUM(G32:K32)</f>
        <v>1451.2969619999999</v>
      </c>
    </row>
    <row r="33" spans="1:13" ht="38.25">
      <c r="A33" s="12">
        <v>30</v>
      </c>
      <c r="B33" s="13" t="s">
        <v>89</v>
      </c>
      <c r="C33" s="14" t="s">
        <v>90</v>
      </c>
      <c r="D33" s="14" t="s">
        <v>91</v>
      </c>
      <c r="E33" s="15">
        <v>1</v>
      </c>
      <c r="F33" s="16">
        <v>1</v>
      </c>
      <c r="G33" s="17">
        <f>E33 * F33 * 147.735913</f>
        <v>147.73591300000001</v>
      </c>
      <c r="H33" s="17">
        <f>E33 * F33 * 745.290822</f>
        <v>745.29082200000005</v>
      </c>
      <c r="I33" s="17">
        <f t="shared" si="2"/>
        <v>0</v>
      </c>
      <c r="J33" s="17">
        <f>E33 * F33 * 148.031385</f>
        <v>148.031385</v>
      </c>
      <c r="K33" s="17">
        <f>E33 * F33 * 159.281892</f>
        <v>159.281892</v>
      </c>
      <c r="L33" s="24">
        <f>M33/E33/F33</f>
        <v>1200.3400120000001</v>
      </c>
      <c r="M33" s="18">
        <f>SUM(G33:K33)</f>
        <v>1200.3400120000001</v>
      </c>
    </row>
    <row r="34" spans="1:13">
      <c r="A34" s="12">
        <v>31</v>
      </c>
      <c r="B34" s="13" t="s">
        <v>92</v>
      </c>
      <c r="C34" s="14" t="s">
        <v>93</v>
      </c>
      <c r="D34" s="14" t="s">
        <v>76</v>
      </c>
      <c r="E34" s="15">
        <v>1</v>
      </c>
      <c r="F34" s="16">
        <v>1</v>
      </c>
      <c r="G34" s="17">
        <f>E34 * F34 * 322.2102</f>
        <v>322.21019999999999</v>
      </c>
      <c r="H34" s="17">
        <f>E34 * F34 * 7.718064</f>
        <v>7.718064</v>
      </c>
      <c r="I34" s="17">
        <f t="shared" si="2"/>
        <v>0</v>
      </c>
      <c r="J34" s="17">
        <f>E34 * F34 * 322.85462</f>
        <v>322.85462000000001</v>
      </c>
      <c r="K34" s="17">
        <f>E34 * F34 * 99.8757809999999</f>
        <v>99.875780999999904</v>
      </c>
      <c r="L34" s="24">
        <f t="shared" ref="L34:L35" si="3">M34/E34/F34</f>
        <v>752.65866499999993</v>
      </c>
      <c r="M34" s="18">
        <f>SUM(G34:K34)</f>
        <v>752.65866499999993</v>
      </c>
    </row>
    <row r="35" spans="1:13">
      <c r="A35" s="12">
        <v>32</v>
      </c>
      <c r="B35" s="13" t="s">
        <v>94</v>
      </c>
      <c r="C35" s="14" t="s">
        <v>95</v>
      </c>
      <c r="D35" s="14" t="s">
        <v>76</v>
      </c>
      <c r="E35" s="15">
        <v>1</v>
      </c>
      <c r="F35" s="16">
        <v>1</v>
      </c>
      <c r="G35" s="17">
        <f>E35 * F35 * 173.4978</f>
        <v>173.49780000000001</v>
      </c>
      <c r="H35" s="17">
        <f>E35 * F35 * 95.4288</f>
        <v>95.428799999999995</v>
      </c>
      <c r="I35" s="17">
        <f t="shared" si="2"/>
        <v>0</v>
      </c>
      <c r="J35" s="17">
        <f>E35 * F35 * 173.844796</f>
        <v>173.844796</v>
      </c>
      <c r="K35" s="17">
        <f>E35 * F35 * 67.744023</f>
        <v>67.744022999999999</v>
      </c>
      <c r="L35" s="24">
        <f t="shared" si="3"/>
        <v>510.51541899999995</v>
      </c>
      <c r="M35" s="18">
        <f>SUM(G35:K35)</f>
        <v>510.51541899999995</v>
      </c>
    </row>
    <row r="36" spans="1:13" ht="25.5">
      <c r="A36" s="12">
        <v>33</v>
      </c>
      <c r="B36" s="13" t="s">
        <v>96</v>
      </c>
      <c r="C36" s="14" t="s">
        <v>97</v>
      </c>
      <c r="D36" s="14" t="s">
        <v>98</v>
      </c>
      <c r="E36" s="15">
        <v>1</v>
      </c>
      <c r="F36" s="16">
        <v>1</v>
      </c>
      <c r="G36" s="17">
        <f>E36 * F36 * 14702.541815</f>
        <v>14702.541815</v>
      </c>
      <c r="H36" s="17">
        <f>E36 * F36 * 31810.808192</f>
        <v>31810.808192</v>
      </c>
      <c r="I36" s="17">
        <f>E36 * F36 * 144.2688</f>
        <v>144.2688</v>
      </c>
      <c r="J36" s="17">
        <f>E36 * F36 * 14838.207195</f>
        <v>14838.207195000001</v>
      </c>
      <c r="K36" s="17">
        <f>E36 * F36 * 9408.861378</f>
        <v>9408.8613779999996</v>
      </c>
      <c r="L36" s="24">
        <f t="shared" si="0"/>
        <v>709.04687380000007</v>
      </c>
      <c r="M36" s="18">
        <f>SUM(G36:K36)</f>
        <v>70904.687380000003</v>
      </c>
    </row>
    <row r="37" spans="1:13" ht="25.5">
      <c r="A37" s="12">
        <v>34</v>
      </c>
      <c r="B37" s="13" t="s">
        <v>99</v>
      </c>
      <c r="C37" s="14" t="s">
        <v>100</v>
      </c>
      <c r="D37" s="14" t="s">
        <v>101</v>
      </c>
      <c r="E37" s="15">
        <v>1</v>
      </c>
      <c r="F37" s="16">
        <v>1</v>
      </c>
      <c r="G37" s="17">
        <f>E37 * F37 * 6890.927093</f>
        <v>6890.9270930000002</v>
      </c>
      <c r="H37" s="17">
        <f>E37 * F37 * 1971.596118</f>
        <v>1971.5961179999999</v>
      </c>
      <c r="I37" s="17">
        <f>E37 * F37 * 22.183</f>
        <v>22.183</v>
      </c>
      <c r="J37" s="17">
        <f>E37 * F37 * 6924.85065</f>
        <v>6924.8506500000003</v>
      </c>
      <c r="K37" s="17">
        <f>E37 * F37 * 2418.862199</f>
        <v>2418.8621990000001</v>
      </c>
      <c r="L37" s="24">
        <f t="shared" si="0"/>
        <v>182.28419059999999</v>
      </c>
      <c r="M37" s="18">
        <f>SUM(G37:K37)</f>
        <v>18228.41906</v>
      </c>
    </row>
    <row r="38" spans="1:13" ht="25.5">
      <c r="A38" s="12">
        <v>35</v>
      </c>
      <c r="B38" s="13" t="s">
        <v>102</v>
      </c>
      <c r="C38" s="14" t="s">
        <v>103</v>
      </c>
      <c r="D38" s="14" t="s">
        <v>101</v>
      </c>
      <c r="E38" s="15">
        <v>1</v>
      </c>
      <c r="F38" s="16">
        <v>1</v>
      </c>
      <c r="G38" s="17">
        <f>E38 * F38 * 5107.393022</f>
        <v>5107.3930220000002</v>
      </c>
      <c r="H38" s="17">
        <f>E38 * F38 * 1971.596118</f>
        <v>1971.5961179999999</v>
      </c>
      <c r="I38" s="17">
        <f>E38 * F38 * 22.183</f>
        <v>22.183</v>
      </c>
      <c r="J38" s="17">
        <f>E38 * F38 * 5137.749511</f>
        <v>5137.749511</v>
      </c>
      <c r="K38" s="17">
        <f>E38 * F38 * 1872.55501199999</f>
        <v>1872.55501199999</v>
      </c>
      <c r="L38" s="24">
        <f t="shared" si="0"/>
        <v>141.11476662999991</v>
      </c>
      <c r="M38" s="18">
        <f>SUM(G38:K38)</f>
        <v>14111.47666299999</v>
      </c>
    </row>
    <row r="39" spans="1:13" ht="51">
      <c r="A39" s="12">
        <v>36</v>
      </c>
      <c r="B39" s="13" t="s">
        <v>104</v>
      </c>
      <c r="C39" s="14" t="s">
        <v>105</v>
      </c>
      <c r="D39" s="14" t="s">
        <v>85</v>
      </c>
      <c r="E39" s="15">
        <v>1</v>
      </c>
      <c r="F39" s="16">
        <v>1</v>
      </c>
      <c r="G39" s="17">
        <f>E39 * F39 * 51158.08401</f>
        <v>51158.084009999999</v>
      </c>
      <c r="H39" s="17">
        <f>E39 * F39 * 18790.332</f>
        <v>18790.331999999999</v>
      </c>
      <c r="I39" s="17">
        <f>E39 * F39 * 297.2522</f>
        <v>297.25220000000002</v>
      </c>
      <c r="J39" s="17">
        <f>E39 * F39 * 51530.298998</f>
        <v>51530.298997999998</v>
      </c>
      <c r="K39" s="17">
        <f>E39 * F39 * 18631.722983</f>
        <v>18631.722983</v>
      </c>
      <c r="L39" s="24">
        <f t="shared" si="0"/>
        <v>1404.0769019100001</v>
      </c>
      <c r="M39" s="18">
        <f>SUM(G39:K39)</f>
        <v>140407.690191</v>
      </c>
    </row>
    <row r="40" spans="1:13" ht="25.5">
      <c r="A40" s="12">
        <v>37</v>
      </c>
      <c r="B40" s="13" t="s">
        <v>106</v>
      </c>
      <c r="C40" s="14" t="s">
        <v>107</v>
      </c>
      <c r="D40" s="14" t="s">
        <v>108</v>
      </c>
      <c r="E40" s="15">
        <v>1</v>
      </c>
      <c r="F40" s="16">
        <v>1</v>
      </c>
      <c r="G40" s="17">
        <f>E40 * F40 * 11378.27775</f>
        <v>11378.277749999999</v>
      </c>
      <c r="H40" s="17">
        <f>E40 * F40 * 72005.713735</f>
        <v>72005.713734999998</v>
      </c>
      <c r="I40" s="17">
        <f>E40 * F40 * 0</f>
        <v>0</v>
      </c>
      <c r="J40" s="17">
        <f>E40 * F40 * 11401.034306</f>
        <v>11401.034306</v>
      </c>
      <c r="K40" s="17">
        <f>E40 * F40 * 14502.108946</f>
        <v>14502.108946</v>
      </c>
      <c r="L40" s="24">
        <f t="shared" si="0"/>
        <v>1092.87134737</v>
      </c>
      <c r="M40" s="18">
        <f>SUM(G40:K40)</f>
        <v>109287.13473699999</v>
      </c>
    </row>
    <row r="41" spans="1:13" ht="25.5">
      <c r="A41" s="12">
        <v>38</v>
      </c>
      <c r="B41" s="13" t="s">
        <v>109</v>
      </c>
      <c r="C41" s="14" t="s">
        <v>110</v>
      </c>
      <c r="D41" s="14" t="s">
        <v>111</v>
      </c>
      <c r="E41" s="15">
        <v>1</v>
      </c>
      <c r="F41" s="16">
        <v>1</v>
      </c>
      <c r="G41" s="17">
        <f>E41 * F41 * 13096.998</f>
        <v>13096.998</v>
      </c>
      <c r="H41" s="17">
        <f>E41 * F41 * 7383.201033</f>
        <v>7383.2010330000003</v>
      </c>
      <c r="I41" s="17">
        <f>E41 * F41 * 0</f>
        <v>0</v>
      </c>
      <c r="J41" s="17">
        <f>E41 * F41 * 13123.191996</f>
        <v>13123.191996</v>
      </c>
      <c r="K41" s="17">
        <f>E41 * F41 * 5141.318827</f>
        <v>5141.3188270000001</v>
      </c>
      <c r="L41" s="24">
        <f t="shared" si="0"/>
        <v>387.44709856000003</v>
      </c>
      <c r="M41" s="18">
        <f>SUM(G41:K41)</f>
        <v>38744.709856000001</v>
      </c>
    </row>
    <row r="42" spans="1:13" ht="25.5">
      <c r="A42" s="12">
        <v>39</v>
      </c>
      <c r="B42" s="13" t="s">
        <v>112</v>
      </c>
      <c r="C42" s="14" t="s">
        <v>113</v>
      </c>
      <c r="D42" s="14" t="s">
        <v>111</v>
      </c>
      <c r="E42" s="15">
        <v>1</v>
      </c>
      <c r="F42" s="16">
        <v>1</v>
      </c>
      <c r="G42" s="17">
        <f>E42 * F42 * 15279.831</f>
        <v>15279.831</v>
      </c>
      <c r="H42" s="17">
        <f>E42 * F42 * 14679.058784</f>
        <v>14679.058784000001</v>
      </c>
      <c r="I42" s="17">
        <f>E42 * F42 * 0</f>
        <v>0</v>
      </c>
      <c r="J42" s="17">
        <f>E42 * F42 * 15310.390662</f>
        <v>15310.390662</v>
      </c>
      <c r="K42" s="17">
        <f>E42 * F42 * 6926.19990899999</f>
        <v>6926.1999089999899</v>
      </c>
      <c r="L42" s="24">
        <f t="shared" si="0"/>
        <v>521.95480354999984</v>
      </c>
      <c r="M42" s="18">
        <f>SUM(G42:K42)</f>
        <v>52195.480354999985</v>
      </c>
    </row>
    <row r="43" spans="1:13">
      <c r="A43" s="12">
        <v>40</v>
      </c>
      <c r="B43" s="13" t="s">
        <v>114</v>
      </c>
      <c r="C43" s="14" t="s">
        <v>115</v>
      </c>
      <c r="D43" s="14" t="s">
        <v>116</v>
      </c>
      <c r="E43" s="15">
        <v>1</v>
      </c>
      <c r="F43" s="16">
        <v>1</v>
      </c>
      <c r="G43" s="17">
        <f>E43 * F43 * 2440.7075</f>
        <v>2440.7075</v>
      </c>
      <c r="H43" s="17">
        <f>E43 * F43 * 1067.310975</f>
        <v>1067.3109750000001</v>
      </c>
      <c r="I43" s="17">
        <f>E43 * F43 * 0</f>
        <v>0</v>
      </c>
      <c r="J43" s="17">
        <f>E43 * F43 * 2445.588915</f>
        <v>2445.5889149999998</v>
      </c>
      <c r="K43" s="17">
        <f>E43 * F43 * 910.901931</f>
        <v>910.90193099999999</v>
      </c>
      <c r="L43" s="24">
        <f t="shared" si="0"/>
        <v>68.645093209999999</v>
      </c>
      <c r="M43" s="18">
        <f>SUM(G43:K43)</f>
        <v>6864.5093209999995</v>
      </c>
    </row>
    <row r="44" spans="1:13">
      <c r="A44" s="12">
        <v>41</v>
      </c>
      <c r="B44" s="13" t="s">
        <v>117</v>
      </c>
      <c r="C44" s="14" t="s">
        <v>118</v>
      </c>
      <c r="D44" s="14" t="s">
        <v>119</v>
      </c>
      <c r="E44" s="15">
        <v>1</v>
      </c>
      <c r="F44" s="16">
        <v>1</v>
      </c>
      <c r="G44" s="17">
        <f>E44 * F44 * 5189.887913</f>
        <v>5189.8879129999996</v>
      </c>
      <c r="H44" s="17">
        <f>E44 * F44 * 62966.37636</f>
        <v>62966.376360000002</v>
      </c>
      <c r="I44" s="17">
        <f>E44 * F44 * 153.7065</f>
        <v>153.70650000000001</v>
      </c>
      <c r="J44" s="17">
        <f>E44 * F44 * 5260.692798</f>
        <v>5260.692798</v>
      </c>
      <c r="K44" s="17">
        <f>E44 * F44 * 11256.311526</f>
        <v>11256.311526</v>
      </c>
      <c r="L44" s="24">
        <f t="shared" si="0"/>
        <v>848.26975097000013</v>
      </c>
      <c r="M44" s="18">
        <f>SUM(G44:K44)</f>
        <v>84826.975097000017</v>
      </c>
    </row>
    <row r="45" spans="1:13">
      <c r="A45" s="12">
        <v>42</v>
      </c>
      <c r="B45" s="13" t="s">
        <v>120</v>
      </c>
      <c r="C45" s="14" t="s">
        <v>121</v>
      </c>
      <c r="D45" s="14" t="s">
        <v>122</v>
      </c>
      <c r="E45" s="15">
        <v>1</v>
      </c>
      <c r="F45" s="16">
        <v>1</v>
      </c>
      <c r="G45" s="17">
        <f>E45 * F45 * 1042.9091</f>
        <v>1042.9091000000001</v>
      </c>
      <c r="H45" s="17">
        <f>E45 * F45 * 14438.993472</f>
        <v>14438.993472</v>
      </c>
      <c r="I45" s="17">
        <f>E45 * F45 * 0</f>
        <v>0</v>
      </c>
      <c r="J45" s="17">
        <f>E45 * F45 * 1044.994918</f>
        <v>1044.9949180000001</v>
      </c>
      <c r="K45" s="17">
        <f>E45 * F45 * 2528.615316</f>
        <v>2528.6153159999999</v>
      </c>
      <c r="L45" s="24">
        <f>M45/E45/F45/10</f>
        <v>1905.5512805999999</v>
      </c>
      <c r="M45" s="18">
        <f>SUM(G45:K45)</f>
        <v>19055.512805999999</v>
      </c>
    </row>
    <row r="46" spans="1:13" ht="38.25">
      <c r="A46" s="12">
        <v>43</v>
      </c>
      <c r="B46" s="13" t="s">
        <v>123</v>
      </c>
      <c r="C46" s="14" t="s">
        <v>124</v>
      </c>
      <c r="D46" s="14" t="s">
        <v>30</v>
      </c>
      <c r="E46" s="15">
        <v>1</v>
      </c>
      <c r="F46" s="16">
        <v>1</v>
      </c>
      <c r="G46" s="17">
        <f>E46 * F46 * 37178.1</f>
        <v>37178.1</v>
      </c>
      <c r="H46" s="17">
        <f>E46 * F46 * 14592.14832</f>
        <v>14592.14832</v>
      </c>
      <c r="I46" s="17">
        <f>E46 * F46 * 0</f>
        <v>0</v>
      </c>
      <c r="J46" s="17">
        <f>E46 * F46 * 37252.4562</f>
        <v>37252.456200000001</v>
      </c>
      <c r="K46" s="17">
        <f>E46 * F46 * 13620.473791</f>
        <v>13620.473791</v>
      </c>
      <c r="L46" s="24">
        <f t="shared" si="0"/>
        <v>1026.43178311</v>
      </c>
      <c r="M46" s="18">
        <f>SUM(G46:K46)</f>
        <v>102643.178311</v>
      </c>
    </row>
    <row r="47" spans="1:13" ht="38.25">
      <c r="A47" s="12">
        <v>44</v>
      </c>
      <c r="B47" s="13" t="s">
        <v>125</v>
      </c>
      <c r="C47" s="14" t="s">
        <v>126</v>
      </c>
      <c r="D47" s="14" t="s">
        <v>30</v>
      </c>
      <c r="E47" s="15">
        <v>1</v>
      </c>
      <c r="F47" s="16">
        <v>1</v>
      </c>
      <c r="G47" s="17">
        <f>E47 * F47 * 8637.4665</f>
        <v>8637.4665000000005</v>
      </c>
      <c r="H47" s="17">
        <f>E47 * F47 * 3769.627227</f>
        <v>3769.6272269999999</v>
      </c>
      <c r="I47" s="17">
        <f>E47 * F47 * 0</f>
        <v>0</v>
      </c>
      <c r="J47" s="17">
        <f>E47 * F47 * 8654.741433</f>
        <v>8654.7414329999992</v>
      </c>
      <c r="K47" s="17">
        <f>E47 * F47 * 3222.460779</f>
        <v>3222.460779</v>
      </c>
      <c r="L47" s="24">
        <f t="shared" si="0"/>
        <v>242.84295939</v>
      </c>
      <c r="M47" s="18">
        <f>SUM(G47:K47)</f>
        <v>24284.295939</v>
      </c>
    </row>
    <row r="48" spans="1:13">
      <c r="A48" s="12">
        <v>45</v>
      </c>
      <c r="B48" s="13" t="s">
        <v>127</v>
      </c>
      <c r="C48" s="14" t="s">
        <v>128</v>
      </c>
      <c r="D48" s="14" t="s">
        <v>129</v>
      </c>
      <c r="E48" s="15">
        <v>1</v>
      </c>
      <c r="F48" s="16">
        <v>1</v>
      </c>
      <c r="G48" s="17">
        <f>E48 * F48 * 34747.27803</f>
        <v>34747.278030000001</v>
      </c>
      <c r="H48" s="17">
        <f>E48 * F48 * 10199.91336</f>
        <v>10199.91336</v>
      </c>
      <c r="I48" s="17">
        <f>E48 * F48 * 9.471</f>
        <v>9.4710000000000001</v>
      </c>
      <c r="J48" s="17">
        <f>E48 * F48 * 34816.772586</f>
        <v>34816.772585999999</v>
      </c>
      <c r="K48" s="17">
        <f>E48 * F48 * 12205.335551</f>
        <v>12205.335551</v>
      </c>
      <c r="L48" s="24">
        <f t="shared" si="0"/>
        <v>919.78770526999983</v>
      </c>
      <c r="M48" s="18">
        <f>SUM(G48:K48)</f>
        <v>91978.770526999986</v>
      </c>
    </row>
    <row r="49" spans="1:13">
      <c r="A49" s="12">
        <v>46</v>
      </c>
      <c r="B49" s="13" t="s">
        <v>130</v>
      </c>
      <c r="C49" s="14" t="s">
        <v>131</v>
      </c>
      <c r="D49" s="14" t="s">
        <v>132</v>
      </c>
      <c r="E49" s="15">
        <v>1</v>
      </c>
      <c r="F49" s="16">
        <v>1</v>
      </c>
      <c r="G49" s="17">
        <f>E49 * F49 * 44869.345</f>
        <v>44869.345000000001</v>
      </c>
      <c r="H49" s="17">
        <f>E49 * F49 * 352827.427446</f>
        <v>352827.42744599999</v>
      </c>
      <c r="I49" s="17">
        <f>E49 * F49 * 0</f>
        <v>0</v>
      </c>
      <c r="J49" s="17">
        <f>E49 * F49 * 44959.0836899999</f>
        <v>44959.083689999999</v>
      </c>
      <c r="K49" s="17">
        <f>E49 * F49 * 67726.345988</f>
        <v>67726.345988000001</v>
      </c>
      <c r="L49" s="24">
        <f t="shared" si="0"/>
        <v>5103.8220212400001</v>
      </c>
      <c r="M49" s="18">
        <f>SUM(G49:K49)</f>
        <v>510382.202124</v>
      </c>
    </row>
    <row r="50" spans="1:13" ht="25.5">
      <c r="A50" s="12">
        <v>47</v>
      </c>
      <c r="B50" s="13" t="s">
        <v>133</v>
      </c>
      <c r="C50" s="14" t="s">
        <v>134</v>
      </c>
      <c r="D50" s="14" t="s">
        <v>135</v>
      </c>
      <c r="E50" s="15">
        <v>1</v>
      </c>
      <c r="F50" s="16">
        <v>1</v>
      </c>
      <c r="G50" s="17">
        <f>E50 * F50 * 9104.98622</f>
        <v>9104.9862200000007</v>
      </c>
      <c r="H50" s="17">
        <f>E50 * F50 * 5756.466958</f>
        <v>5756.466958</v>
      </c>
      <c r="I50" s="17">
        <f>E50 * F50 * 0</f>
        <v>0</v>
      </c>
      <c r="J50" s="17">
        <f>E50 * F50 * 9123.196192</f>
        <v>9123.1961919999994</v>
      </c>
      <c r="K50" s="17">
        <f>E50 * F50 * 3669.651353</f>
        <v>3669.6513530000002</v>
      </c>
      <c r="L50" s="24">
        <f t="shared" si="0"/>
        <v>276.54300723</v>
      </c>
      <c r="M50" s="18">
        <f>SUM(G50:K50)</f>
        <v>27654.300723</v>
      </c>
    </row>
    <row r="51" spans="1:13" ht="25.5">
      <c r="A51" s="12">
        <v>48</v>
      </c>
      <c r="B51" s="13" t="s">
        <v>136</v>
      </c>
      <c r="C51" s="14" t="s">
        <v>137</v>
      </c>
      <c r="D51" s="14" t="s">
        <v>52</v>
      </c>
      <c r="E51" s="15">
        <v>1</v>
      </c>
      <c r="F51" s="16">
        <v>1</v>
      </c>
      <c r="G51" s="17">
        <f>E51 * F51 * 4144.38289</f>
        <v>4144.3828899999999</v>
      </c>
      <c r="H51" s="17">
        <f>E51 * F51 * 2304.669672</f>
        <v>2304.669672</v>
      </c>
      <c r="I51" s="17">
        <f>E51 * F51 * 0.861</f>
        <v>0.86099999999999999</v>
      </c>
      <c r="J51" s="17">
        <f>E51 * F51 * 4152.67165599999</f>
        <v>4152.6716559999904</v>
      </c>
      <c r="K51" s="17">
        <f>E51 * F51 * 1622.195538</f>
        <v>1622.1955379999999</v>
      </c>
      <c r="L51" s="24">
        <f t="shared" si="0"/>
        <v>122.2478075599999</v>
      </c>
      <c r="M51" s="18">
        <f>SUM(G51:K51)</f>
        <v>12224.780755999989</v>
      </c>
    </row>
    <row r="52" spans="1:13" ht="25.5">
      <c r="A52" s="12">
        <v>49</v>
      </c>
      <c r="B52" s="13" t="s">
        <v>138</v>
      </c>
      <c r="C52" s="14" t="s">
        <v>139</v>
      </c>
      <c r="D52" s="14" t="s">
        <v>52</v>
      </c>
      <c r="E52" s="15">
        <v>1</v>
      </c>
      <c r="F52" s="16">
        <v>1</v>
      </c>
      <c r="G52" s="17">
        <f>E52 * F52 * 10217.229</f>
        <v>10217.228999999999</v>
      </c>
      <c r="H52" s="17">
        <f>E52 * F52 * 5446.009352</f>
        <v>5446.009352</v>
      </c>
      <c r="I52" s="17">
        <f t="shared" ref="I52:I81" si="4">E52 * F52 * 0</f>
        <v>0</v>
      </c>
      <c r="J52" s="17">
        <f>E52 * F52 * 10237.6634579999</f>
        <v>10237.663457999901</v>
      </c>
      <c r="K52" s="17">
        <f>E52 * F52 * 3962.837977</f>
        <v>3962.8379770000001</v>
      </c>
      <c r="L52" s="24">
        <f t="shared" si="0"/>
        <v>298.63739786999901</v>
      </c>
      <c r="M52" s="18">
        <f>SUM(G52:K52)</f>
        <v>29863.7397869999</v>
      </c>
    </row>
    <row r="53" spans="1:13" ht="38.25">
      <c r="A53" s="12">
        <v>50</v>
      </c>
      <c r="B53" s="13" t="s">
        <v>140</v>
      </c>
      <c r="C53" s="14" t="s">
        <v>29</v>
      </c>
      <c r="D53" s="14" t="s">
        <v>30</v>
      </c>
      <c r="E53" s="15">
        <v>1</v>
      </c>
      <c r="F53" s="16">
        <v>1</v>
      </c>
      <c r="G53" s="17">
        <f>E53 * F53 * 28157.0625</f>
        <v>28157.0625</v>
      </c>
      <c r="H53" s="17">
        <f>E53 * F53 * 107142.0816</f>
        <v>107142.0816</v>
      </c>
      <c r="I53" s="17">
        <f t="shared" si="4"/>
        <v>0</v>
      </c>
      <c r="J53" s="17">
        <f>E53 * F53 * 28213.3766249999</f>
        <v>28213.376624999899</v>
      </c>
      <c r="K53" s="17">
        <f>E53 * F53 * 25017.415671</f>
        <v>25017.415670999999</v>
      </c>
      <c r="L53" s="24">
        <f t="shared" si="0"/>
        <v>1885.2993639599988</v>
      </c>
      <c r="M53" s="18">
        <f>SUM(G53:K53)</f>
        <v>188529.93639599989</v>
      </c>
    </row>
    <row r="54" spans="1:13" ht="38.25">
      <c r="A54" s="12">
        <v>51</v>
      </c>
      <c r="B54" s="13" t="s">
        <v>141</v>
      </c>
      <c r="C54" s="14" t="s">
        <v>142</v>
      </c>
      <c r="D54" s="14" t="s">
        <v>30</v>
      </c>
      <c r="E54" s="15">
        <v>1</v>
      </c>
      <c r="F54" s="16">
        <v>1</v>
      </c>
      <c r="G54" s="17">
        <f>E54 * F54 * 37178.1</f>
        <v>37178.1</v>
      </c>
      <c r="H54" s="17">
        <f>E54 * F54 * 14592.14832</f>
        <v>14592.14832</v>
      </c>
      <c r="I54" s="17">
        <f t="shared" si="4"/>
        <v>0</v>
      </c>
      <c r="J54" s="17">
        <f>E54 * F54 * 37252.4562</f>
        <v>37252.456200000001</v>
      </c>
      <c r="K54" s="17">
        <f>E54 * F54 * 13620.473791</f>
        <v>13620.473791</v>
      </c>
      <c r="L54" s="24">
        <f t="shared" si="0"/>
        <v>1026.43178311</v>
      </c>
      <c r="M54" s="18">
        <f>SUM(G54:K54)</f>
        <v>102643.178311</v>
      </c>
    </row>
    <row r="55" spans="1:13" ht="25.5">
      <c r="A55" s="12">
        <v>52</v>
      </c>
      <c r="B55" s="13" t="s">
        <v>143</v>
      </c>
      <c r="C55" s="14" t="s">
        <v>144</v>
      </c>
      <c r="D55" s="14" t="s">
        <v>145</v>
      </c>
      <c r="E55" s="15">
        <v>1</v>
      </c>
      <c r="F55" s="16">
        <v>1</v>
      </c>
      <c r="G55" s="17">
        <f>E55 * F55 * 19041.1995</f>
        <v>19041.199499999999</v>
      </c>
      <c r="H55" s="17">
        <f>E55 * F55 * 47724.162888</f>
        <v>47724.162887999999</v>
      </c>
      <c r="I55" s="17">
        <f t="shared" si="4"/>
        <v>0</v>
      </c>
      <c r="J55" s="17">
        <f>E55 * F55 * 19079.281899</f>
        <v>19079.281899000001</v>
      </c>
      <c r="K55" s="17">
        <f>E55 * F55 * 13134.230575</f>
        <v>13134.230575</v>
      </c>
      <c r="L55" s="24">
        <f t="shared" si="0"/>
        <v>989.78874861999998</v>
      </c>
      <c r="M55" s="18">
        <f>SUM(G55:K55)</f>
        <v>98978.874861999997</v>
      </c>
    </row>
    <row r="56" spans="1:13" ht="25.5">
      <c r="A56" s="12">
        <v>53</v>
      </c>
      <c r="B56" s="13" t="s">
        <v>146</v>
      </c>
      <c r="C56" s="14" t="s">
        <v>147</v>
      </c>
      <c r="D56" s="14" t="s">
        <v>145</v>
      </c>
      <c r="E56" s="15">
        <v>1</v>
      </c>
      <c r="F56" s="16">
        <v>1</v>
      </c>
      <c r="G56" s="17">
        <f>E56 * F56 * 26936.331</f>
        <v>26936.330999999998</v>
      </c>
      <c r="H56" s="17">
        <f>E56 * F56 * 81108.222288</f>
        <v>81108.222288000004</v>
      </c>
      <c r="I56" s="17">
        <f t="shared" si="4"/>
        <v>0</v>
      </c>
      <c r="J56" s="17">
        <f>E56 * F56 * 26990.203662</f>
        <v>26990.203662</v>
      </c>
      <c r="K56" s="17">
        <f>E56 * F56 * 20660.317813</f>
        <v>20660.317813000001</v>
      </c>
      <c r="L56" s="24">
        <f t="shared" si="0"/>
        <v>1556.95074763</v>
      </c>
      <c r="M56" s="18">
        <f>SUM(G56:K56)</f>
        <v>155695.07476300001</v>
      </c>
    </row>
    <row r="57" spans="1:13" ht="25.5">
      <c r="A57" s="12">
        <v>54</v>
      </c>
      <c r="B57" s="13" t="s">
        <v>148</v>
      </c>
      <c r="C57" s="14" t="s">
        <v>149</v>
      </c>
      <c r="D57" s="14" t="s">
        <v>150</v>
      </c>
      <c r="E57" s="15">
        <v>1</v>
      </c>
      <c r="F57" s="16">
        <v>1</v>
      </c>
      <c r="G57" s="17">
        <f>E57 * F57 * 27400.7505</f>
        <v>27400.750499999998</v>
      </c>
      <c r="H57" s="17">
        <f>E57 * F57 * 52844.262049</f>
        <v>52844.262048999997</v>
      </c>
      <c r="I57" s="17">
        <f t="shared" si="4"/>
        <v>0</v>
      </c>
      <c r="J57" s="17">
        <f>E57 * F57 * 27455.552001</f>
        <v>27455.552001</v>
      </c>
      <c r="K57" s="17">
        <f>E57 * F57 * 16478.186376</f>
        <v>16478.186376000001</v>
      </c>
      <c r="L57" s="24">
        <f t="shared" si="0"/>
        <v>1241.78750926</v>
      </c>
      <c r="M57" s="18">
        <f>SUM(G57:K57)</f>
        <v>124178.75092599999</v>
      </c>
    </row>
    <row r="58" spans="1:13" ht="25.5">
      <c r="A58" s="12">
        <v>55</v>
      </c>
      <c r="B58" s="13" t="s">
        <v>151</v>
      </c>
      <c r="C58" s="14" t="s">
        <v>152</v>
      </c>
      <c r="D58" s="14" t="s">
        <v>52</v>
      </c>
      <c r="E58" s="15">
        <v>1</v>
      </c>
      <c r="F58" s="16">
        <v>1</v>
      </c>
      <c r="G58" s="17">
        <f>E58 * F58 * 2786.517</f>
        <v>2786.5169999999998</v>
      </c>
      <c r="H58" s="17">
        <f>E58 * F58 * 4521.21877</f>
        <v>4521.2187700000004</v>
      </c>
      <c r="I58" s="17">
        <f t="shared" si="4"/>
        <v>0</v>
      </c>
      <c r="J58" s="17">
        <f>E58 * F58 * 2792.090034</f>
        <v>2792.0900339999998</v>
      </c>
      <c r="K58" s="17">
        <f>E58 * F58 * 1545.273348</f>
        <v>1545.2733479999999</v>
      </c>
      <c r="L58" s="24">
        <f t="shared" si="0"/>
        <v>116.45099152</v>
      </c>
      <c r="M58" s="18">
        <f>SUM(G58:K58)</f>
        <v>11645.099152000001</v>
      </c>
    </row>
    <row r="59" spans="1:13">
      <c r="A59" s="12">
        <v>56</v>
      </c>
      <c r="B59" s="13" t="s">
        <v>153</v>
      </c>
      <c r="C59" s="14" t="s">
        <v>154</v>
      </c>
      <c r="D59" s="14" t="s">
        <v>155</v>
      </c>
      <c r="E59" s="15">
        <v>1</v>
      </c>
      <c r="F59" s="16">
        <v>1</v>
      </c>
      <c r="G59" s="17">
        <f>E59 * F59 * 12888.408</f>
        <v>12888.407999999999</v>
      </c>
      <c r="H59" s="17">
        <f>E59 * F59 * 82868.492448</f>
        <v>82868.492448000005</v>
      </c>
      <c r="I59" s="17">
        <f t="shared" si="4"/>
        <v>0</v>
      </c>
      <c r="J59" s="17">
        <f>E59 * F59 * 12914.1848159999</f>
        <v>12914.184815999901</v>
      </c>
      <c r="K59" s="17">
        <f>E59 * F59 * 16626.676046</f>
        <v>16626.676046</v>
      </c>
      <c r="L59" s="24">
        <f t="shared" si="0"/>
        <v>1252.9776130999992</v>
      </c>
      <c r="M59" s="18">
        <f>SUM(G59:K59)</f>
        <v>125297.76130999991</v>
      </c>
    </row>
    <row r="60" spans="1:13">
      <c r="A60" s="12">
        <v>57</v>
      </c>
      <c r="B60" s="13" t="s">
        <v>156</v>
      </c>
      <c r="C60" s="14" t="s">
        <v>157</v>
      </c>
      <c r="D60" s="14" t="s">
        <v>155</v>
      </c>
      <c r="E60" s="15">
        <v>1</v>
      </c>
      <c r="F60" s="16">
        <v>1</v>
      </c>
      <c r="G60" s="17">
        <f>E60 * F60 * 29742.48</f>
        <v>29742.48</v>
      </c>
      <c r="H60" s="17">
        <f>E60 * F60 * 82868.492448</f>
        <v>82868.492448000005</v>
      </c>
      <c r="I60" s="17">
        <f t="shared" si="4"/>
        <v>0</v>
      </c>
      <c r="J60" s="17">
        <f>E60 * F60 * 29801.96496</f>
        <v>29801.964960000001</v>
      </c>
      <c r="K60" s="17">
        <f>E60 * F60 * 21789.179423</f>
        <v>21789.179423000001</v>
      </c>
      <c r="L60" s="24">
        <f t="shared" si="0"/>
        <v>1642.0211683099999</v>
      </c>
      <c r="M60" s="18">
        <f>SUM(G60:K60)</f>
        <v>164202.11683099999</v>
      </c>
    </row>
    <row r="61" spans="1:13">
      <c r="A61" s="12">
        <v>58</v>
      </c>
      <c r="B61" s="13" t="s">
        <v>158</v>
      </c>
      <c r="C61" s="14" t="s">
        <v>159</v>
      </c>
      <c r="D61" s="14" t="s">
        <v>155</v>
      </c>
      <c r="E61" s="15">
        <v>1</v>
      </c>
      <c r="F61" s="16">
        <v>1</v>
      </c>
      <c r="G61" s="17">
        <f>E61 * F61 * 9418.452</f>
        <v>9418.4519999999993</v>
      </c>
      <c r="H61" s="17">
        <f>E61 * F61 * 29776.761101</f>
        <v>29776.761101</v>
      </c>
      <c r="I61" s="17">
        <f t="shared" si="4"/>
        <v>0</v>
      </c>
      <c r="J61" s="17">
        <f>E61 * F61 * 9437.288904</f>
        <v>9437.2889039999991</v>
      </c>
      <c r="K61" s="17">
        <f>E61 * F61 * 7440.772807</f>
        <v>7440.7728070000003</v>
      </c>
      <c r="L61" s="24">
        <f t="shared" si="0"/>
        <v>560.73274812</v>
      </c>
      <c r="M61" s="18">
        <f>SUM(G61:K61)</f>
        <v>56073.274812000003</v>
      </c>
    </row>
    <row r="62" spans="1:13">
      <c r="A62" s="12">
        <v>59</v>
      </c>
      <c r="B62" s="13" t="s">
        <v>160</v>
      </c>
      <c r="C62" s="14" t="s">
        <v>161</v>
      </c>
      <c r="D62" s="14" t="s">
        <v>162</v>
      </c>
      <c r="E62" s="15">
        <v>1</v>
      </c>
      <c r="F62" s="16">
        <v>1</v>
      </c>
      <c r="G62" s="17">
        <f>E62 * F62 * 14127.678</f>
        <v>14127.678</v>
      </c>
      <c r="H62" s="17">
        <f>E62 * F62 * 54143.703721</f>
        <v>54143.703720999998</v>
      </c>
      <c r="I62" s="17">
        <f t="shared" si="4"/>
        <v>0</v>
      </c>
      <c r="J62" s="17">
        <f>E62 * F62 * 14155.933356</f>
        <v>14155.933356</v>
      </c>
      <c r="K62" s="17">
        <f>E62 * F62 * 12611.3792069999</f>
        <v>12611.3792069999</v>
      </c>
      <c r="L62" s="24">
        <f t="shared" si="0"/>
        <v>950.38694283999894</v>
      </c>
      <c r="M62" s="18">
        <f>SUM(G62:K62)</f>
        <v>95038.694283999896</v>
      </c>
    </row>
    <row r="63" spans="1:13" ht="25.5">
      <c r="A63" s="12">
        <v>60</v>
      </c>
      <c r="B63" s="13" t="s">
        <v>163</v>
      </c>
      <c r="C63" s="14" t="s">
        <v>164</v>
      </c>
      <c r="D63" s="14" t="s">
        <v>52</v>
      </c>
      <c r="E63" s="15">
        <v>1</v>
      </c>
      <c r="F63" s="16">
        <v>1</v>
      </c>
      <c r="G63" s="17">
        <f>E63 * F63 * 5108.6145</f>
        <v>5108.6144999999997</v>
      </c>
      <c r="H63" s="17">
        <f>E63 * F63 * 3499.179576</f>
        <v>3499.179576</v>
      </c>
      <c r="I63" s="17">
        <f t="shared" si="4"/>
        <v>0</v>
      </c>
      <c r="J63" s="17">
        <f>E63 * F63 * 5118.83172899999</f>
        <v>5118.8317289999904</v>
      </c>
      <c r="K63" s="17">
        <f>E63 * F63 * 2100.173749</f>
        <v>2100.173749</v>
      </c>
      <c r="L63" s="24">
        <f t="shared" si="0"/>
        <v>158.2679955399999</v>
      </c>
      <c r="M63" s="18">
        <f>SUM(G63:K63)</f>
        <v>15826.79955399999</v>
      </c>
    </row>
    <row r="64" spans="1:13" ht="25.5">
      <c r="A64" s="12">
        <v>61</v>
      </c>
      <c r="B64" s="13" t="s">
        <v>165</v>
      </c>
      <c r="C64" s="14" t="s">
        <v>166</v>
      </c>
      <c r="D64" s="14" t="s">
        <v>145</v>
      </c>
      <c r="E64" s="15">
        <v>1</v>
      </c>
      <c r="F64" s="16">
        <v>1</v>
      </c>
      <c r="G64" s="17">
        <f>E64 * F64 * 15325.8435</f>
        <v>15325.843500000001</v>
      </c>
      <c r="H64" s="17">
        <f>E64 * F64 * 59216.033916</f>
        <v>59216.033916</v>
      </c>
      <c r="I64" s="17">
        <f t="shared" si="4"/>
        <v>0</v>
      </c>
      <c r="J64" s="17">
        <f>E64 * F64 * 15356.495187</f>
        <v>15356.495187</v>
      </c>
      <c r="K64" s="17">
        <f>E64 * F64 * 13754.451008</f>
        <v>13754.451008</v>
      </c>
      <c r="L64" s="24">
        <f t="shared" si="0"/>
        <v>1036.5282361100001</v>
      </c>
      <c r="M64" s="18">
        <f>SUM(G64:K64)</f>
        <v>103652.823611</v>
      </c>
    </row>
    <row r="65" spans="1:13" ht="25.5">
      <c r="A65" s="12">
        <v>62</v>
      </c>
      <c r="B65" s="13" t="s">
        <v>167</v>
      </c>
      <c r="C65" s="14" t="s">
        <v>168</v>
      </c>
      <c r="D65" s="14" t="s">
        <v>169</v>
      </c>
      <c r="E65" s="15">
        <v>1</v>
      </c>
      <c r="F65" s="16">
        <v>1</v>
      </c>
      <c r="G65" s="17">
        <f>E65 * F65 * 19737.82875</f>
        <v>19737.828750000001</v>
      </c>
      <c r="H65" s="17">
        <f>E65 * F65 * 33567.531648</f>
        <v>33567.531647999996</v>
      </c>
      <c r="I65" s="17">
        <f t="shared" si="4"/>
        <v>0</v>
      </c>
      <c r="J65" s="17">
        <f>E65 * F65 * 19777.304408</f>
        <v>19777.304408</v>
      </c>
      <c r="K65" s="17">
        <f>E65 * F65 * 11181.647716</f>
        <v>11181.647715999999</v>
      </c>
      <c r="L65" s="24">
        <f t="shared" si="0"/>
        <v>842.64312521999989</v>
      </c>
      <c r="M65" s="18">
        <f>SUM(G65:K65)</f>
        <v>84264.312521999993</v>
      </c>
    </row>
    <row r="66" spans="1:13" ht="25.5">
      <c r="A66" s="12">
        <v>63</v>
      </c>
      <c r="B66" s="13" t="s">
        <v>170</v>
      </c>
      <c r="C66" s="14" t="s">
        <v>171</v>
      </c>
      <c r="D66" s="14" t="s">
        <v>169</v>
      </c>
      <c r="E66" s="15">
        <v>1</v>
      </c>
      <c r="F66" s="16">
        <v>1</v>
      </c>
      <c r="G66" s="17">
        <f>E66 * F66 * 50389.51575</f>
        <v>50389.515749999999</v>
      </c>
      <c r="H66" s="17">
        <f>E66 * F66 * 33567.531648</f>
        <v>33567.531647999996</v>
      </c>
      <c r="I66" s="17">
        <f t="shared" si="4"/>
        <v>0</v>
      </c>
      <c r="J66" s="17">
        <f>E66 * F66 * 50490.294782</f>
        <v>50490.294781999997</v>
      </c>
      <c r="K66" s="17">
        <f>E66 * F66 * 20570.443354</f>
        <v>20570.443353999999</v>
      </c>
      <c r="L66" s="24">
        <f t="shared" si="0"/>
        <v>1550.1778553399997</v>
      </c>
      <c r="M66" s="18">
        <f>SUM(G66:K66)</f>
        <v>155017.78553399997</v>
      </c>
    </row>
    <row r="67" spans="1:13" ht="25.5">
      <c r="A67" s="12">
        <v>64</v>
      </c>
      <c r="B67" s="13" t="s">
        <v>172</v>
      </c>
      <c r="C67" s="14" t="s">
        <v>173</v>
      </c>
      <c r="D67" s="14" t="s">
        <v>52</v>
      </c>
      <c r="E67" s="15">
        <v>1</v>
      </c>
      <c r="F67" s="16">
        <v>1</v>
      </c>
      <c r="G67" s="17">
        <f>E67 * F67 * 12307.11675</f>
        <v>12307.116749999999</v>
      </c>
      <c r="H67" s="17">
        <f>E67 * F67 * 5708.391752</f>
        <v>5708.3917520000005</v>
      </c>
      <c r="I67" s="17">
        <f t="shared" si="4"/>
        <v>0</v>
      </c>
      <c r="J67" s="17">
        <f>E67 * F67 * 12331.730983</f>
        <v>12331.730982999999</v>
      </c>
      <c r="K67" s="17">
        <f>E67 * F67 * 4643.127641</f>
        <v>4643.127641</v>
      </c>
      <c r="L67" s="24">
        <f t="shared" si="0"/>
        <v>349.90367125999995</v>
      </c>
      <c r="M67" s="18">
        <f>SUM(G67:K67)</f>
        <v>34990.367125999997</v>
      </c>
    </row>
    <row r="68" spans="1:13">
      <c r="A68" s="12">
        <v>65</v>
      </c>
      <c r="B68" s="13" t="s">
        <v>174</v>
      </c>
      <c r="C68" s="14" t="s">
        <v>175</v>
      </c>
      <c r="D68" s="14" t="s">
        <v>176</v>
      </c>
      <c r="E68" s="15">
        <v>1</v>
      </c>
      <c r="F68" s="16">
        <v>1</v>
      </c>
      <c r="G68" s="17">
        <f>E68 * F68 * 13235.95575</f>
        <v>13235.955749999999</v>
      </c>
      <c r="H68" s="17">
        <f>E68 * F68 * 12384.49307</f>
        <v>12384.49307</v>
      </c>
      <c r="I68" s="17">
        <f t="shared" si="4"/>
        <v>0</v>
      </c>
      <c r="J68" s="17">
        <f>E68 * F68 * 13262.427661</f>
        <v>13262.427661</v>
      </c>
      <c r="K68" s="17">
        <f>E68 * F68 * 5949.080102</f>
        <v>5949.0801019999999</v>
      </c>
      <c r="L68" s="24">
        <f t="shared" si="0"/>
        <v>448.31956582999999</v>
      </c>
      <c r="M68" s="18">
        <f>SUM(G68:K68)</f>
        <v>44831.956582999999</v>
      </c>
    </row>
    <row r="69" spans="1:13">
      <c r="A69" s="12">
        <v>66</v>
      </c>
      <c r="B69" s="13" t="s">
        <v>177</v>
      </c>
      <c r="C69" s="14" t="s">
        <v>178</v>
      </c>
      <c r="D69" s="14" t="s">
        <v>179</v>
      </c>
      <c r="E69" s="15">
        <v>1</v>
      </c>
      <c r="F69" s="16">
        <v>1</v>
      </c>
      <c r="G69" s="17">
        <f>E69 * F69 * 16537.597616</f>
        <v>16537.597615999999</v>
      </c>
      <c r="H69" s="17">
        <f>E69 * F69 * 22575.051317</f>
        <v>22575.051317000001</v>
      </c>
      <c r="I69" s="17">
        <f t="shared" si="4"/>
        <v>0</v>
      </c>
      <c r="J69" s="17">
        <f>E69 * F69 * 16570.672811</f>
        <v>16570.672811</v>
      </c>
      <c r="K69" s="17">
        <f>E69 * F69 * 8519.548227</f>
        <v>8519.5482269999993</v>
      </c>
      <c r="L69" s="24">
        <f t="shared" ref="L69:L73" si="5">M69/E69/F69/100</f>
        <v>642.02869970999996</v>
      </c>
      <c r="M69" s="18">
        <f>SUM(G69:K69)</f>
        <v>64202.869971</v>
      </c>
    </row>
    <row r="70" spans="1:13">
      <c r="A70" s="12">
        <v>67</v>
      </c>
      <c r="B70" s="13" t="s">
        <v>180</v>
      </c>
      <c r="C70" s="14" t="s">
        <v>181</v>
      </c>
      <c r="D70" s="14" t="s">
        <v>179</v>
      </c>
      <c r="E70" s="15">
        <v>1</v>
      </c>
      <c r="F70" s="16">
        <v>1</v>
      </c>
      <c r="G70" s="17">
        <f>E70 * F70 * 45898.63031</f>
        <v>45898.63031</v>
      </c>
      <c r="H70" s="17">
        <f>E70 * F70 * 29573.92926</f>
        <v>29573.929260000001</v>
      </c>
      <c r="I70" s="17">
        <f t="shared" si="4"/>
        <v>0</v>
      </c>
      <c r="J70" s="17">
        <f>E70 * F70 * 45990.427571</f>
        <v>45990.427571</v>
      </c>
      <c r="K70" s="17">
        <f>E70 * F70 * 18583.837033</f>
        <v>18583.837033</v>
      </c>
      <c r="L70" s="24">
        <f t="shared" si="5"/>
        <v>1400.4682417399997</v>
      </c>
      <c r="M70" s="18">
        <f>SUM(G70:K70)</f>
        <v>140046.82417399998</v>
      </c>
    </row>
    <row r="71" spans="1:13" ht="38.25">
      <c r="A71" s="12">
        <v>68</v>
      </c>
      <c r="B71" s="13" t="s">
        <v>182</v>
      </c>
      <c r="C71" s="14" t="s">
        <v>183</v>
      </c>
      <c r="D71" s="14" t="s">
        <v>184</v>
      </c>
      <c r="E71" s="15">
        <v>1</v>
      </c>
      <c r="F71" s="16">
        <v>1</v>
      </c>
      <c r="G71" s="17">
        <f>E71 * F71 * 17947.738</f>
        <v>17947.738000000001</v>
      </c>
      <c r="H71" s="17">
        <f>E71 * F71 * 14761.691297</f>
        <v>14761.691296999999</v>
      </c>
      <c r="I71" s="17">
        <f t="shared" si="4"/>
        <v>0</v>
      </c>
      <c r="J71" s="17">
        <f>E71 * F71 * 17983.633476</f>
        <v>17983.633475999999</v>
      </c>
      <c r="K71" s="17">
        <f>E71 * F71 * 7756.038605</f>
        <v>7756.0386049999997</v>
      </c>
      <c r="L71" s="24">
        <f t="shared" si="5"/>
        <v>584.49101378</v>
      </c>
      <c r="M71" s="18">
        <f>SUM(G71:K71)</f>
        <v>58449.101377999999</v>
      </c>
    </row>
    <row r="72" spans="1:13" ht="38.25">
      <c r="A72" s="12">
        <v>69</v>
      </c>
      <c r="B72" s="13" t="s">
        <v>185</v>
      </c>
      <c r="C72" s="14" t="s">
        <v>186</v>
      </c>
      <c r="D72" s="14" t="s">
        <v>184</v>
      </c>
      <c r="E72" s="15">
        <v>1</v>
      </c>
      <c r="F72" s="16">
        <v>1</v>
      </c>
      <c r="G72" s="17">
        <f>E72 * F72 * 25514.8924</f>
        <v>25514.892400000001</v>
      </c>
      <c r="H72" s="17">
        <f>E72 * F72 * 19084.16298</f>
        <v>19084.162980000001</v>
      </c>
      <c r="I72" s="17">
        <f t="shared" si="4"/>
        <v>0</v>
      </c>
      <c r="J72" s="17">
        <f>E72 * F72 * 25565.922185</f>
        <v>25565.922184999999</v>
      </c>
      <c r="K72" s="17">
        <f>E72 * F72 * 10735.241568</f>
        <v>10735.241567999999</v>
      </c>
      <c r="L72" s="24">
        <f t="shared" si="5"/>
        <v>809.00219133000007</v>
      </c>
      <c r="M72" s="18">
        <f>SUM(G72:K72)</f>
        <v>80900.219133000006</v>
      </c>
    </row>
    <row r="73" spans="1:13" ht="25.5">
      <c r="A73" s="12">
        <v>70</v>
      </c>
      <c r="B73" s="13" t="s">
        <v>187</v>
      </c>
      <c r="C73" s="14" t="s">
        <v>188</v>
      </c>
      <c r="D73" s="14" t="s">
        <v>189</v>
      </c>
      <c r="E73" s="15">
        <v>1</v>
      </c>
      <c r="F73" s="16">
        <v>1</v>
      </c>
      <c r="G73" s="17">
        <f>E73 * F73 * 1478.6577</f>
        <v>1478.6577</v>
      </c>
      <c r="H73" s="17">
        <f>E73 * F73 * 435.916608</f>
        <v>435.916608</v>
      </c>
      <c r="I73" s="17">
        <f t="shared" si="4"/>
        <v>0</v>
      </c>
      <c r="J73" s="17">
        <f>E73 * F73 * 1481.615015</f>
        <v>1481.6150150000001</v>
      </c>
      <c r="K73" s="17">
        <f>E73 * F73 * 519.616966999999</f>
        <v>519.61696699999902</v>
      </c>
      <c r="L73" s="24">
        <f>M73/E73/F73/10</f>
        <v>391.58062899999993</v>
      </c>
      <c r="M73" s="18">
        <f>SUM(G73:K73)</f>
        <v>3915.8062899999991</v>
      </c>
    </row>
    <row r="74" spans="1:13" ht="25.5">
      <c r="A74" s="12">
        <v>71</v>
      </c>
      <c r="B74" s="13" t="s">
        <v>190</v>
      </c>
      <c r="C74" s="14" t="s">
        <v>191</v>
      </c>
      <c r="D74" s="14" t="s">
        <v>189</v>
      </c>
      <c r="E74" s="15">
        <v>1</v>
      </c>
      <c r="F74" s="16">
        <v>1</v>
      </c>
      <c r="G74" s="17">
        <f>E74 * F74 * 1369.1275</f>
        <v>1369.1275000000001</v>
      </c>
      <c r="H74" s="17">
        <f>E74 * F74 * 439.00512</f>
        <v>439.00511999999998</v>
      </c>
      <c r="I74" s="17">
        <f t="shared" si="4"/>
        <v>0</v>
      </c>
      <c r="J74" s="17">
        <f>E74 * F74 * 1371.86575499999</f>
        <v>1371.86575499999</v>
      </c>
      <c r="K74" s="17">
        <f>E74 * F74 * 486.539751</f>
        <v>486.53975100000002</v>
      </c>
      <c r="L74" s="24">
        <f>M74/E74/F74/10</f>
        <v>366.65381259999901</v>
      </c>
      <c r="M74" s="18">
        <f>SUM(G74:K74)</f>
        <v>3666.5381259999904</v>
      </c>
    </row>
    <row r="75" spans="1:13" ht="25.5">
      <c r="A75" s="12">
        <v>72</v>
      </c>
      <c r="B75" s="13" t="s">
        <v>192</v>
      </c>
      <c r="C75" s="14" t="s">
        <v>193</v>
      </c>
      <c r="D75" s="14" t="s">
        <v>194</v>
      </c>
      <c r="E75" s="15">
        <v>1</v>
      </c>
      <c r="F75" s="16">
        <v>1</v>
      </c>
      <c r="G75" s="17">
        <f>E75 * F75 * 43.65666</f>
        <v>43.656660000000002</v>
      </c>
      <c r="H75" s="17">
        <f>E75 * F75 * 72.045675</f>
        <v>72.045675000000003</v>
      </c>
      <c r="I75" s="17">
        <f t="shared" si="4"/>
        <v>0</v>
      </c>
      <c r="J75" s="17">
        <f>E75 * F75 * 43.743973</f>
        <v>43.743972999999997</v>
      </c>
      <c r="K75" s="17">
        <f>E75 * F75 * 24.395285</f>
        <v>24.395285000000001</v>
      </c>
      <c r="L75" s="24">
        <f>M75/E75/F75</f>
        <v>183.84159299999999</v>
      </c>
      <c r="M75" s="18">
        <f>SUM(G75:K75)</f>
        <v>183.84159299999999</v>
      </c>
    </row>
    <row r="76" spans="1:13">
      <c r="A76" s="12">
        <v>73</v>
      </c>
      <c r="B76" s="13" t="s">
        <v>195</v>
      </c>
      <c r="C76" s="14" t="s">
        <v>196</v>
      </c>
      <c r="D76" s="14" t="s">
        <v>194</v>
      </c>
      <c r="E76" s="15">
        <v>1</v>
      </c>
      <c r="F76" s="16">
        <v>1</v>
      </c>
      <c r="G76" s="17">
        <f>E76 * F76 * 14.55222</f>
        <v>14.55222</v>
      </c>
      <c r="H76" s="17">
        <f>E76 * F76 * 1.018395</f>
        <v>1.0183949999999999</v>
      </c>
      <c r="I76" s="17">
        <f t="shared" si="4"/>
        <v>0</v>
      </c>
      <c r="J76" s="17">
        <f>E76 * F76 * 14.5813239999999</f>
        <v>14.581323999999899</v>
      </c>
      <c r="K76" s="17">
        <f>E76 * F76 * 4.613247</f>
        <v>4.6132470000000003</v>
      </c>
      <c r="L76" s="24">
        <f t="shared" ref="L76:L78" si="6">M76/E76/F76</f>
        <v>34.7651859999999</v>
      </c>
      <c r="M76" s="18">
        <f>SUM(G76:K76)</f>
        <v>34.7651859999999</v>
      </c>
    </row>
    <row r="77" spans="1:13">
      <c r="A77" s="12">
        <v>74</v>
      </c>
      <c r="B77" s="13" t="s">
        <v>197</v>
      </c>
      <c r="C77" s="14" t="s">
        <v>198</v>
      </c>
      <c r="D77" s="14" t="s">
        <v>199</v>
      </c>
      <c r="E77" s="15">
        <v>1</v>
      </c>
      <c r="F77" s="16">
        <v>1</v>
      </c>
      <c r="G77" s="17">
        <f>E77 * F77 * 128.697985</f>
        <v>128.69798499999999</v>
      </c>
      <c r="H77" s="17">
        <f>E77 * F77 * 88.972896</f>
        <v>88.972896000000006</v>
      </c>
      <c r="I77" s="17">
        <f t="shared" si="4"/>
        <v>0</v>
      </c>
      <c r="J77" s="17">
        <f>E77 * F77 * 128.95538</f>
        <v>128.95537999999999</v>
      </c>
      <c r="K77" s="17">
        <f>E77 * F77 * 53.033818</f>
        <v>53.033817999999997</v>
      </c>
      <c r="L77" s="24">
        <f t="shared" si="6"/>
        <v>399.660079</v>
      </c>
      <c r="M77" s="18">
        <f>SUM(G77:K77)</f>
        <v>399.660079</v>
      </c>
    </row>
    <row r="78" spans="1:13">
      <c r="A78" s="12">
        <v>75</v>
      </c>
      <c r="B78" s="13" t="s">
        <v>200</v>
      </c>
      <c r="C78" s="14" t="s">
        <v>201</v>
      </c>
      <c r="D78" s="14" t="s">
        <v>202</v>
      </c>
      <c r="E78" s="15">
        <v>1</v>
      </c>
      <c r="F78" s="16">
        <v>1</v>
      </c>
      <c r="G78" s="17">
        <f>E78 * F78 * 36.38055</f>
        <v>36.380549999999999</v>
      </c>
      <c r="H78" s="17">
        <f>E78 * F78 * 107.997792</f>
        <v>107.997792</v>
      </c>
      <c r="I78" s="17">
        <f t="shared" si="4"/>
        <v>0</v>
      </c>
      <c r="J78" s="17">
        <f>E78 * F78 * 36.453311</f>
        <v>36.453310999999999</v>
      </c>
      <c r="K78" s="17">
        <f>E78 * F78 * 27.667243</f>
        <v>27.667242999999999</v>
      </c>
      <c r="L78" s="24">
        <f t="shared" si="6"/>
        <v>208.498896</v>
      </c>
      <c r="M78" s="18">
        <f>SUM(G78:K78)</f>
        <v>208.498896</v>
      </c>
    </row>
    <row r="79" spans="1:13">
      <c r="A79" s="12">
        <v>76</v>
      </c>
      <c r="B79" s="13" t="s">
        <v>203</v>
      </c>
      <c r="C79" s="14" t="s">
        <v>204</v>
      </c>
      <c r="D79" s="14" t="s">
        <v>205</v>
      </c>
      <c r="E79" s="15">
        <v>1</v>
      </c>
      <c r="F79" s="16">
        <v>1</v>
      </c>
      <c r="G79" s="17">
        <f>E79 * F79 * 13882.81788</f>
        <v>13882.817880000001</v>
      </c>
      <c r="H79" s="17">
        <f>E79 * F79 * 14976.220944</f>
        <v>14976.220944000001</v>
      </c>
      <c r="I79" s="17">
        <f t="shared" si="4"/>
        <v>0</v>
      </c>
      <c r="J79" s="17">
        <f>E79 * F79 * 13910.5835159999</f>
        <v>13910.583515999901</v>
      </c>
      <c r="K79" s="17">
        <f>E79 * F79 * 6543.752218</f>
        <v>6543.7522179999996</v>
      </c>
      <c r="L79" s="24">
        <f t="shared" ref="L79:L85" si="7">M79/E79/F79/100</f>
        <v>493.13374557999902</v>
      </c>
      <c r="M79" s="18">
        <f>SUM(G79:K79)</f>
        <v>49313.374557999901</v>
      </c>
    </row>
    <row r="80" spans="1:13">
      <c r="A80" s="12">
        <v>77</v>
      </c>
      <c r="B80" s="13" t="s">
        <v>206</v>
      </c>
      <c r="C80" s="14" t="s">
        <v>207</v>
      </c>
      <c r="D80" s="14" t="s">
        <v>208</v>
      </c>
      <c r="E80" s="15">
        <v>1</v>
      </c>
      <c r="F80" s="16">
        <v>1</v>
      </c>
      <c r="G80" s="17">
        <f>E80 * F80 * 25902.9516</f>
        <v>25902.9516</v>
      </c>
      <c r="H80" s="17">
        <f>E80 * F80 * 71272.041888</f>
        <v>71272.041888000007</v>
      </c>
      <c r="I80" s="17">
        <f t="shared" si="4"/>
        <v>0</v>
      </c>
      <c r="J80" s="17">
        <f>E80 * F80 * 25954.757503</f>
        <v>25954.757503000001</v>
      </c>
      <c r="K80" s="17">
        <f>E80 * F80 * 18838.851902</f>
        <v>18838.851901999999</v>
      </c>
      <c r="L80" s="24">
        <f t="shared" si="7"/>
        <v>1419.68602893</v>
      </c>
      <c r="M80" s="18">
        <f>SUM(G80:K80)</f>
        <v>141968.602893</v>
      </c>
    </row>
    <row r="81" spans="1:13">
      <c r="A81" s="12">
        <v>78</v>
      </c>
      <c r="B81" s="13" t="s">
        <v>209</v>
      </c>
      <c r="C81" s="14" t="s">
        <v>210</v>
      </c>
      <c r="D81" s="14" t="s">
        <v>208</v>
      </c>
      <c r="E81" s="15">
        <v>1</v>
      </c>
      <c r="F81" s="16">
        <v>1</v>
      </c>
      <c r="G81" s="17">
        <f>E81 * F81 * 17753.7084</f>
        <v>17753.7084</v>
      </c>
      <c r="H81" s="17">
        <f>E81 * F81 * 88502.1024</f>
        <v>88502.102400000003</v>
      </c>
      <c r="I81" s="17">
        <f t="shared" si="4"/>
        <v>0</v>
      </c>
      <c r="J81" s="17">
        <f>E81 * F81 * 17789.215817</f>
        <v>17789.215817</v>
      </c>
      <c r="K81" s="17">
        <f>E81 * F81 * 18978.889072</f>
        <v>18978.889072000002</v>
      </c>
      <c r="L81" s="24">
        <f t="shared" si="7"/>
        <v>1430.2391568900002</v>
      </c>
      <c r="M81" s="18">
        <f>SUM(G81:K81)</f>
        <v>143023.91568900002</v>
      </c>
    </row>
    <row r="82" spans="1:13">
      <c r="A82" s="12">
        <v>79</v>
      </c>
      <c r="B82" s="13" t="s">
        <v>211</v>
      </c>
      <c r="C82" s="14" t="s">
        <v>212</v>
      </c>
      <c r="D82" s="14" t="s">
        <v>85</v>
      </c>
      <c r="E82" s="15">
        <v>1</v>
      </c>
      <c r="F82" s="16">
        <v>1</v>
      </c>
      <c r="G82" s="17">
        <f>E82 * F82 * 70751.7648</f>
        <v>70751.764800000004</v>
      </c>
      <c r="H82" s="17">
        <f>E82 * F82 * 189135.35904</f>
        <v>189135.35904000001</v>
      </c>
      <c r="I82" s="17">
        <f>E82 * F82 * 28.2408</f>
        <v>28.2408</v>
      </c>
      <c r="J82" s="17">
        <f>E82 * F82 * 70893.2683299999</f>
        <v>70893.268329999904</v>
      </c>
      <c r="K82" s="17">
        <f>E82 * F82 * 50613.7208439999</f>
        <v>50613.720843999901</v>
      </c>
      <c r="L82" s="24">
        <f t="shared" si="7"/>
        <v>3814.2235381399978</v>
      </c>
      <c r="M82" s="18">
        <f>SUM(G82:K82)</f>
        <v>381422.3538139998</v>
      </c>
    </row>
    <row r="83" spans="1:13">
      <c r="A83" s="12">
        <v>80</v>
      </c>
      <c r="B83" s="13" t="s">
        <v>213</v>
      </c>
      <c r="C83" s="14" t="s">
        <v>214</v>
      </c>
      <c r="D83" s="14" t="s">
        <v>85</v>
      </c>
      <c r="E83" s="15">
        <v>1</v>
      </c>
      <c r="F83" s="16">
        <v>1</v>
      </c>
      <c r="G83" s="17">
        <f>E83 * F83 * 12307.11675</f>
        <v>12307.116749999999</v>
      </c>
      <c r="H83" s="17">
        <f>E83 * F83 * 4935.581187</f>
        <v>4935.5811869999998</v>
      </c>
      <c r="I83" s="17">
        <f>E83 * F83 * 0</f>
        <v>0</v>
      </c>
      <c r="J83" s="17">
        <f>E83 * F83 * 12331.730983</f>
        <v>12331.730982999999</v>
      </c>
      <c r="K83" s="17">
        <f>E83 * F83 * 4524.887624</f>
        <v>4524.887624</v>
      </c>
      <c r="L83" s="24">
        <f t="shared" si="7"/>
        <v>340.99316543999998</v>
      </c>
      <c r="M83" s="18">
        <f>SUM(G83:K83)</f>
        <v>34099.316544000001</v>
      </c>
    </row>
    <row r="84" spans="1:13">
      <c r="A84" s="12">
        <v>81</v>
      </c>
      <c r="B84" s="13" t="s">
        <v>215</v>
      </c>
      <c r="C84" s="14" t="s">
        <v>216</v>
      </c>
      <c r="D84" s="14" t="s">
        <v>85</v>
      </c>
      <c r="E84" s="15">
        <v>1</v>
      </c>
      <c r="F84" s="16">
        <v>1</v>
      </c>
      <c r="G84" s="17">
        <f>E84 * F84 * 17349.78</f>
        <v>17349.78</v>
      </c>
      <c r="H84" s="17">
        <f>E84 * F84 * 3750.397067</f>
        <v>3750.3970669999999</v>
      </c>
      <c r="I84" s="17">
        <f>E84 * F84 * 0</f>
        <v>0</v>
      </c>
      <c r="J84" s="17">
        <f>E84 * F84 * 17384.47956</f>
        <v>17384.47956</v>
      </c>
      <c r="K84" s="17">
        <f>E84 * F84 * 5888.152464</f>
        <v>5888.1524639999998</v>
      </c>
      <c r="L84" s="24">
        <f t="shared" si="7"/>
        <v>443.72809090999993</v>
      </c>
      <c r="M84" s="18">
        <f>SUM(G84:K84)</f>
        <v>44372.809090999996</v>
      </c>
    </row>
    <row r="85" spans="1:13">
      <c r="A85" s="12">
        <v>82</v>
      </c>
      <c r="B85" s="13" t="s">
        <v>217</v>
      </c>
      <c r="C85" s="14" t="s">
        <v>218</v>
      </c>
      <c r="D85" s="14" t="s">
        <v>219</v>
      </c>
      <c r="E85" s="15">
        <v>1</v>
      </c>
      <c r="F85" s="16">
        <v>1</v>
      </c>
      <c r="G85" s="17">
        <f>E85 * F85 * 313.162302</f>
        <v>313.16230200000001</v>
      </c>
      <c r="H85" s="17">
        <f>E85 * F85 * 3065.502531</f>
        <v>3065.5025310000001</v>
      </c>
      <c r="I85" s="17">
        <f>E85 * F85 * 8.5584</f>
        <v>8.5584000000000007</v>
      </c>
      <c r="J85" s="17">
        <f>E85 * F85 * 313.788625999999</f>
        <v>313.788625999999</v>
      </c>
      <c r="K85" s="17">
        <f>E85 * F85 * 566.254814</f>
        <v>566.25481400000001</v>
      </c>
      <c r="L85" s="24">
        <f>M85/E85/F85</f>
        <v>4267.2666729999992</v>
      </c>
      <c r="M85" s="18">
        <f>SUM(G85:K85)</f>
        <v>4267.2666729999992</v>
      </c>
    </row>
    <row r="86" spans="1:13" ht="25.5">
      <c r="A86" s="12">
        <v>83</v>
      </c>
      <c r="B86" s="13" t="s">
        <v>220</v>
      </c>
      <c r="C86" s="14" t="s">
        <v>221</v>
      </c>
      <c r="D86" s="14" t="s">
        <v>222</v>
      </c>
      <c r="E86" s="15">
        <v>1</v>
      </c>
      <c r="F86" s="16">
        <v>1</v>
      </c>
      <c r="G86" s="17">
        <f>E86 * F86 * 570.060928</f>
        <v>570.06092799999999</v>
      </c>
      <c r="H86" s="17">
        <f>E86 * F86 * 1852.947322</f>
        <v>1852.947322</v>
      </c>
      <c r="I86" s="17">
        <f t="shared" ref="I86:I98" si="8">E86 * F86 * 0</f>
        <v>0</v>
      </c>
      <c r="J86" s="17">
        <f>E86 * F86 * 571.20105</f>
        <v>571.20105000000001</v>
      </c>
      <c r="K86" s="17">
        <f>E86 * F86 * 458.114023</f>
        <v>458.11402299999997</v>
      </c>
      <c r="L86" s="24">
        <f t="shared" ref="L86:L90" si="9">M86/E86/F86</f>
        <v>3452.3233230000001</v>
      </c>
      <c r="M86" s="18">
        <f>SUM(G86:K86)</f>
        <v>3452.3233230000001</v>
      </c>
    </row>
    <row r="87" spans="1:13" ht="25.5">
      <c r="A87" s="12">
        <v>84</v>
      </c>
      <c r="B87" s="13" t="s">
        <v>223</v>
      </c>
      <c r="C87" s="14" t="s">
        <v>224</v>
      </c>
      <c r="D87" s="14" t="s">
        <v>225</v>
      </c>
      <c r="E87" s="15">
        <v>1</v>
      </c>
      <c r="F87" s="16">
        <v>1</v>
      </c>
      <c r="G87" s="17">
        <f>E87 * F87 * 2207.0867</f>
        <v>2207.0866999999998</v>
      </c>
      <c r="H87" s="17">
        <f>E87 * F87 * 296.157888</f>
        <v>296.15788800000001</v>
      </c>
      <c r="I87" s="17">
        <f t="shared" si="8"/>
        <v>0</v>
      </c>
      <c r="J87" s="17">
        <f>E87 * F87 * 2211.500873</f>
        <v>2211.500873</v>
      </c>
      <c r="K87" s="17">
        <f>E87 * F87 * 721.356055</f>
        <v>721.35605499999997</v>
      </c>
      <c r="L87" s="24">
        <f>M87/E87/F87/10</f>
        <v>543.61015160000011</v>
      </c>
      <c r="M87" s="18">
        <f>SUM(G87:K87)</f>
        <v>5436.1015160000006</v>
      </c>
    </row>
    <row r="88" spans="1:13">
      <c r="A88" s="12">
        <v>85</v>
      </c>
      <c r="B88" s="13" t="s">
        <v>226</v>
      </c>
      <c r="C88" s="14" t="s">
        <v>227</v>
      </c>
      <c r="D88" s="14" t="s">
        <v>225</v>
      </c>
      <c r="E88" s="15">
        <v>1</v>
      </c>
      <c r="F88" s="16">
        <v>1</v>
      </c>
      <c r="G88" s="17">
        <f>E88 * F88 * 2449.6237</f>
        <v>2449.6237000000001</v>
      </c>
      <c r="H88" s="17">
        <f>E88 * F88 * 296.157888</f>
        <v>296.15788800000001</v>
      </c>
      <c r="I88" s="17">
        <f t="shared" si="8"/>
        <v>0</v>
      </c>
      <c r="J88" s="17">
        <f>E88 * F88 * 2454.522947</f>
        <v>2454.5229469999999</v>
      </c>
      <c r="K88" s="17">
        <f>E88 * F88 * 795.646594</f>
        <v>795.64659400000005</v>
      </c>
      <c r="L88" s="24">
        <f t="shared" ref="L88:L94" si="10">M88/E88/F88/10</f>
        <v>599.5951129</v>
      </c>
      <c r="M88" s="18">
        <f>SUM(G88:K88)</f>
        <v>5995.951129</v>
      </c>
    </row>
    <row r="89" spans="1:13">
      <c r="A89" s="12">
        <v>86</v>
      </c>
      <c r="B89" s="13" t="s">
        <v>228</v>
      </c>
      <c r="C89" s="14" t="s">
        <v>229</v>
      </c>
      <c r="D89" s="14" t="s">
        <v>230</v>
      </c>
      <c r="E89" s="15">
        <v>1</v>
      </c>
      <c r="F89" s="16">
        <v>1</v>
      </c>
      <c r="G89" s="17">
        <f>E89 * F89 * 2425.37</f>
        <v>2425.37</v>
      </c>
      <c r="H89" s="17">
        <f>E89 * F89 * 260.64</f>
        <v>260.64</v>
      </c>
      <c r="I89" s="17">
        <f t="shared" si="8"/>
        <v>0</v>
      </c>
      <c r="J89" s="17">
        <f>E89 * F89 * 2430.22073999999</f>
        <v>2430.2207399999902</v>
      </c>
      <c r="K89" s="17">
        <f>E89 * F89 * 782.783302999999</f>
        <v>782.78330299999902</v>
      </c>
      <c r="L89" s="24">
        <f t="shared" si="10"/>
        <v>589.90140429999894</v>
      </c>
      <c r="M89" s="18">
        <f>SUM(G89:K89)</f>
        <v>5899.0140429999892</v>
      </c>
    </row>
    <row r="90" spans="1:13">
      <c r="A90" s="12">
        <v>87</v>
      </c>
      <c r="B90" s="13" t="s">
        <v>231</v>
      </c>
      <c r="C90" s="14" t="s">
        <v>232</v>
      </c>
      <c r="D90" s="14" t="s">
        <v>233</v>
      </c>
      <c r="E90" s="15">
        <v>1</v>
      </c>
      <c r="F90" s="16">
        <v>1</v>
      </c>
      <c r="G90" s="17">
        <f>E90 * F90 * 121.2685</f>
        <v>121.2685</v>
      </c>
      <c r="H90" s="17">
        <f>E90 * F90 * 42.8883</f>
        <v>42.888300000000001</v>
      </c>
      <c r="I90" s="17">
        <f t="shared" si="8"/>
        <v>0</v>
      </c>
      <c r="J90" s="17">
        <f>E90 * F90 * 121.511037</f>
        <v>121.511037</v>
      </c>
      <c r="K90" s="17">
        <f>E90 * F90 * 43.707179</f>
        <v>43.707178999999996</v>
      </c>
      <c r="L90" s="24">
        <f t="shared" si="9"/>
        <v>329.37501600000002</v>
      </c>
      <c r="M90" s="18">
        <f>SUM(G90:K90)</f>
        <v>329.37501600000002</v>
      </c>
    </row>
    <row r="91" spans="1:13" ht="25.5">
      <c r="A91" s="12">
        <v>88</v>
      </c>
      <c r="B91" s="13" t="s">
        <v>234</v>
      </c>
      <c r="C91" s="14" t="s">
        <v>235</v>
      </c>
      <c r="D91" s="14" t="s">
        <v>189</v>
      </c>
      <c r="E91" s="15">
        <v>1</v>
      </c>
      <c r="F91" s="16">
        <v>1</v>
      </c>
      <c r="G91" s="17">
        <f>E91 * F91 * 1204.8322</f>
        <v>1204.8322000000001</v>
      </c>
      <c r="H91" s="17">
        <f>E91 * F91 * 293.716608</f>
        <v>293.71660800000001</v>
      </c>
      <c r="I91" s="17">
        <f t="shared" si="8"/>
        <v>0</v>
      </c>
      <c r="J91" s="17">
        <f>E91 * F91 * 1207.241864</f>
        <v>1207.2418640000001</v>
      </c>
      <c r="K91" s="17">
        <f>E91 * F91 * 413.985973</f>
        <v>413.985973</v>
      </c>
      <c r="L91" s="24">
        <f t="shared" si="10"/>
        <v>311.9776645</v>
      </c>
      <c r="M91" s="18">
        <f>SUM(G91:K91)</f>
        <v>3119.7766449999999</v>
      </c>
    </row>
    <row r="92" spans="1:13" ht="25.5">
      <c r="A92" s="12">
        <v>89</v>
      </c>
      <c r="B92" s="13" t="s">
        <v>236</v>
      </c>
      <c r="C92" s="14" t="s">
        <v>237</v>
      </c>
      <c r="D92" s="14" t="s">
        <v>189</v>
      </c>
      <c r="E92" s="15">
        <v>1</v>
      </c>
      <c r="F92" s="16">
        <v>1</v>
      </c>
      <c r="G92" s="17">
        <f>E92 * F92 * 1067.91945</f>
        <v>1067.9194500000001</v>
      </c>
      <c r="H92" s="17">
        <f>E92 * F92 * 293.716608</f>
        <v>293.71660800000001</v>
      </c>
      <c r="I92" s="17">
        <f t="shared" si="8"/>
        <v>0</v>
      </c>
      <c r="J92" s="17">
        <f>E92 * F92 * 1070.055289</f>
        <v>1070.0552889999999</v>
      </c>
      <c r="K92" s="17">
        <f>E92 * F92 * 372.048776</f>
        <v>372.04877599999998</v>
      </c>
      <c r="L92" s="24">
        <f t="shared" si="10"/>
        <v>280.3740123</v>
      </c>
      <c r="M92" s="18">
        <f>SUM(G92:K92)</f>
        <v>2803.740123</v>
      </c>
    </row>
    <row r="93" spans="1:13">
      <c r="A93" s="12">
        <v>90</v>
      </c>
      <c r="B93" s="13" t="s">
        <v>238</v>
      </c>
      <c r="C93" s="14" t="s">
        <v>239</v>
      </c>
      <c r="D93" s="14" t="s">
        <v>194</v>
      </c>
      <c r="E93" s="15">
        <v>1</v>
      </c>
      <c r="F93" s="16">
        <v>1</v>
      </c>
      <c r="G93" s="17">
        <f>E93 * F93 * 14.55222</f>
        <v>14.55222</v>
      </c>
      <c r="H93" s="17">
        <f>E93 * F93 * 1.018395</f>
        <v>1.0183949999999999</v>
      </c>
      <c r="I93" s="17">
        <f t="shared" si="8"/>
        <v>0</v>
      </c>
      <c r="J93" s="17">
        <f>E93 * F93 * 14.5813239999999</f>
        <v>14.581323999999899</v>
      </c>
      <c r="K93" s="17">
        <f>E93 * F93 * 4.613247</f>
        <v>4.6132470000000003</v>
      </c>
      <c r="L93" s="24">
        <f t="shared" ref="L93" si="11">M93/E93/F93</f>
        <v>34.7651859999999</v>
      </c>
      <c r="M93" s="18">
        <f>SUM(G93:K93)</f>
        <v>34.7651859999999</v>
      </c>
    </row>
    <row r="94" spans="1:13">
      <c r="A94" s="12">
        <v>91</v>
      </c>
      <c r="B94" s="13" t="s">
        <v>240</v>
      </c>
      <c r="C94" s="14" t="s">
        <v>241</v>
      </c>
      <c r="D94" s="14" t="s">
        <v>242</v>
      </c>
      <c r="E94" s="15">
        <v>1</v>
      </c>
      <c r="F94" s="16">
        <v>1</v>
      </c>
      <c r="G94" s="17">
        <f>E94 * F94 * 798.777</f>
        <v>798.77700000000004</v>
      </c>
      <c r="H94" s="17">
        <f>E94 * F94 * 2644.647556</f>
        <v>2644.6475559999999</v>
      </c>
      <c r="I94" s="17">
        <f t="shared" si="8"/>
        <v>0</v>
      </c>
      <c r="J94" s="17">
        <f>E94 * F94 * 800.374554</f>
        <v>800.37455399999999</v>
      </c>
      <c r="K94" s="17">
        <f>E94 * F94 * 649.301264</f>
        <v>649.30126399999995</v>
      </c>
      <c r="L94" s="24">
        <f t="shared" si="10"/>
        <v>489.31003739999994</v>
      </c>
      <c r="M94" s="18">
        <f>SUM(G94:K94)</f>
        <v>4893.1003739999996</v>
      </c>
    </row>
    <row r="95" spans="1:13">
      <c r="A95" s="12">
        <v>92</v>
      </c>
      <c r="B95" s="13" t="s">
        <v>243</v>
      </c>
      <c r="C95" s="14" t="s">
        <v>244</v>
      </c>
      <c r="D95" s="14" t="s">
        <v>245</v>
      </c>
      <c r="E95" s="15">
        <v>1</v>
      </c>
      <c r="F95" s="16">
        <v>1</v>
      </c>
      <c r="G95" s="17">
        <f>E95 * F95 * 3638.055</f>
        <v>3638.0549999999998</v>
      </c>
      <c r="H95" s="17">
        <f>E95 * F95 * 9780.57024</f>
        <v>9780.5702399999991</v>
      </c>
      <c r="I95" s="17">
        <f t="shared" si="8"/>
        <v>0</v>
      </c>
      <c r="J95" s="17">
        <f>E95 * F95 * 3645.33111</f>
        <v>3645.3311100000001</v>
      </c>
      <c r="K95" s="17">
        <f>E95 * F95 * 2610.785322</f>
        <v>2610.7853220000002</v>
      </c>
      <c r="L95" s="24">
        <f t="shared" ref="L95:L100" si="12">M95/E95/F95/100</f>
        <v>196.74741671999999</v>
      </c>
      <c r="M95" s="18">
        <f>SUM(G95:K95)</f>
        <v>19674.741672</v>
      </c>
    </row>
    <row r="96" spans="1:13">
      <c r="A96" s="12">
        <v>93</v>
      </c>
      <c r="B96" s="13" t="s">
        <v>246</v>
      </c>
      <c r="C96" s="14" t="s">
        <v>247</v>
      </c>
      <c r="D96" s="14" t="s">
        <v>248</v>
      </c>
      <c r="E96" s="15">
        <v>1</v>
      </c>
      <c r="F96" s="16">
        <v>1</v>
      </c>
      <c r="G96" s="17">
        <f>E96 * F96 * 9400.73412</f>
        <v>9400.7341199999992</v>
      </c>
      <c r="H96" s="17">
        <f>E96 * F96 * 6015.3024</f>
        <v>6015.3023999999996</v>
      </c>
      <c r="I96" s="17">
        <f t="shared" si="8"/>
        <v>0</v>
      </c>
      <c r="J96" s="17">
        <f>E96 * F96 * 9419.535588</f>
        <v>9419.5355880000006</v>
      </c>
      <c r="K96" s="17">
        <f>E96 * F96 * 3799.842533</f>
        <v>3799.842533</v>
      </c>
      <c r="L96" s="24">
        <f t="shared" si="12"/>
        <v>286.35414641</v>
      </c>
      <c r="M96" s="18">
        <f>SUM(G96:K96)</f>
        <v>28635.414640999999</v>
      </c>
    </row>
    <row r="97" spans="1:13">
      <c r="A97" s="12">
        <v>94</v>
      </c>
      <c r="B97" s="13" t="s">
        <v>249</v>
      </c>
      <c r="C97" s="14" t="s">
        <v>250</v>
      </c>
      <c r="D97" s="14" t="s">
        <v>85</v>
      </c>
      <c r="E97" s="15">
        <v>1</v>
      </c>
      <c r="F97" s="16">
        <v>1</v>
      </c>
      <c r="G97" s="17">
        <f>E97 * F97 * 18808.98975</f>
        <v>18808.989750000001</v>
      </c>
      <c r="H97" s="17">
        <f>E97 * F97 * 3270.134302</f>
        <v>3270.1343019999999</v>
      </c>
      <c r="I97" s="17">
        <f t="shared" si="8"/>
        <v>0</v>
      </c>
      <c r="J97" s="17">
        <f>E97 * F97 * 18846.60773</f>
        <v>18846.60773</v>
      </c>
      <c r="K97" s="17">
        <f>E97 * F97 * 6261.636963</f>
        <v>6261.6369629999999</v>
      </c>
      <c r="L97" s="24">
        <f t="shared" si="12"/>
        <v>471.87368744999998</v>
      </c>
      <c r="M97" s="18">
        <f>SUM(G97:K97)</f>
        <v>47187.368745</v>
      </c>
    </row>
    <row r="98" spans="1:13">
      <c r="A98" s="12">
        <v>95</v>
      </c>
      <c r="B98" s="13" t="s">
        <v>251</v>
      </c>
      <c r="C98" s="14" t="s">
        <v>252</v>
      </c>
      <c r="D98" s="14" t="s">
        <v>85</v>
      </c>
      <c r="E98" s="15">
        <v>1</v>
      </c>
      <c r="F98" s="16">
        <v>1</v>
      </c>
      <c r="G98" s="17">
        <f>E98 * F98 * 24537.546</f>
        <v>24537.545999999998</v>
      </c>
      <c r="H98" s="17">
        <f>E98 * F98 * 5561.129124</f>
        <v>5561.129124</v>
      </c>
      <c r="I98" s="17">
        <f t="shared" si="8"/>
        <v>0</v>
      </c>
      <c r="J98" s="17">
        <f>E98 * F98 * 24586.621092</f>
        <v>24586.621092000001</v>
      </c>
      <c r="K98" s="17">
        <f>E98 * F98 * 8366.850321</f>
        <v>8366.8503209999999</v>
      </c>
      <c r="L98" s="24">
        <f t="shared" si="12"/>
        <v>630.52146536999999</v>
      </c>
      <c r="M98" s="18">
        <f>SUM(G98:K98)</f>
        <v>63052.146537000001</v>
      </c>
    </row>
    <row r="99" spans="1:13">
      <c r="A99" s="12">
        <v>96</v>
      </c>
      <c r="B99" s="13" t="s">
        <v>253</v>
      </c>
      <c r="C99" s="14" t="s">
        <v>254</v>
      </c>
      <c r="D99" s="14" t="s">
        <v>255</v>
      </c>
      <c r="E99" s="15">
        <v>1</v>
      </c>
      <c r="F99" s="16">
        <v>1</v>
      </c>
      <c r="G99" s="17">
        <f>E99 * F99 * 5069.41594</f>
        <v>5069.4159399999999</v>
      </c>
      <c r="H99" s="17">
        <f>E99 * F99 * 86704.422648</f>
        <v>86704.422648000007</v>
      </c>
      <c r="I99" s="17">
        <f>E99 * F99 * 126.674</f>
        <v>126.67400000000001</v>
      </c>
      <c r="J99" s="17">
        <f>E99 * F99 * 5180.263287</f>
        <v>5180.2632869999998</v>
      </c>
      <c r="K99" s="17">
        <f>E99 * F99 * 14853.358709</f>
        <v>14853.358709</v>
      </c>
      <c r="L99" s="24">
        <f t="shared" si="12"/>
        <v>1119.34134584</v>
      </c>
      <c r="M99" s="18">
        <f>SUM(G99:K99)</f>
        <v>111934.13458400001</v>
      </c>
    </row>
    <row r="100" spans="1:13">
      <c r="A100" s="12">
        <v>97</v>
      </c>
      <c r="B100" s="13" t="s">
        <v>256</v>
      </c>
      <c r="C100" s="14" t="s">
        <v>257</v>
      </c>
      <c r="D100" s="14" t="s">
        <v>255</v>
      </c>
      <c r="E100" s="15">
        <v>1</v>
      </c>
      <c r="F100" s="16">
        <v>1</v>
      </c>
      <c r="G100" s="17">
        <f>E100 * F100 * 2884.863504</f>
        <v>2884.8635039999999</v>
      </c>
      <c r="H100" s="17">
        <f>E100 * F100 * 44855.556864</f>
        <v>44855.556863999998</v>
      </c>
      <c r="I100" s="17">
        <f>E100 * F100 * 65.8613</f>
        <v>65.8613</v>
      </c>
      <c r="J100" s="17">
        <f>E100 * F100 * 2943.001659</f>
        <v>2943.001659</v>
      </c>
      <c r="K100" s="17">
        <f>E100 * F100 * 7764.640349</f>
        <v>7764.6403490000002</v>
      </c>
      <c r="L100" s="24">
        <f t="shared" si="12"/>
        <v>585.13923676000002</v>
      </c>
      <c r="M100" s="18">
        <f>SUM(G100:K100)</f>
        <v>58513.923675999999</v>
      </c>
    </row>
    <row r="101" spans="1:13" ht="25.5">
      <c r="A101" s="12">
        <v>98</v>
      </c>
      <c r="B101" s="13" t="s">
        <v>258</v>
      </c>
      <c r="C101" s="14" t="s">
        <v>259</v>
      </c>
      <c r="D101" s="14" t="s">
        <v>260</v>
      </c>
      <c r="E101" s="15">
        <v>1</v>
      </c>
      <c r="F101" s="16">
        <v>1</v>
      </c>
      <c r="G101" s="17">
        <f>E101 * F101 * 1341.74495</f>
        <v>1341.74495</v>
      </c>
      <c r="H101" s="17">
        <f>E101 * F101 * 152.805781</f>
        <v>152.805781</v>
      </c>
      <c r="I101" s="17">
        <f t="shared" ref="I101:I114" si="13">E101 * F101 * 0</f>
        <v>0</v>
      </c>
      <c r="J101" s="17">
        <f>E101 * F101 * 1344.42844</f>
        <v>1344.4284399999999</v>
      </c>
      <c r="K101" s="17">
        <f>E101 * F101 * 434.363814</f>
        <v>434.36381399999999</v>
      </c>
      <c r="L101" s="24">
        <f>M101/E101/F101</f>
        <v>3273.3429849999998</v>
      </c>
      <c r="M101" s="18">
        <f>SUM(G101:K101)</f>
        <v>3273.3429849999998</v>
      </c>
    </row>
    <row r="102" spans="1:13" ht="25.5">
      <c r="A102" s="12">
        <v>99</v>
      </c>
      <c r="B102" s="13" t="s">
        <v>261</v>
      </c>
      <c r="C102" s="14" t="s">
        <v>262</v>
      </c>
      <c r="D102" s="14" t="s">
        <v>263</v>
      </c>
      <c r="E102" s="15">
        <v>1</v>
      </c>
      <c r="F102" s="16">
        <v>1</v>
      </c>
      <c r="G102" s="17">
        <f>E102 * F102 * 1355.436225</f>
        <v>1355.4362249999999</v>
      </c>
      <c r="H102" s="17">
        <f>E102 * F102 * 6212.261518</f>
        <v>6212.2615180000003</v>
      </c>
      <c r="I102" s="17">
        <f t="shared" si="13"/>
        <v>0</v>
      </c>
      <c r="J102" s="17">
        <f>E102 * F102 * 1358.147097</f>
        <v>1358.147097</v>
      </c>
      <c r="K102" s="17">
        <f>E102 * F102 * 1365.654261</f>
        <v>1365.6542609999999</v>
      </c>
      <c r="L102" s="24">
        <f t="shared" ref="L101:L109" si="14">M102/E102/F102/10</f>
        <v>1029.1499101000002</v>
      </c>
      <c r="M102" s="18">
        <f>SUM(G102:K102)</f>
        <v>10291.499101000001</v>
      </c>
    </row>
    <row r="103" spans="1:13">
      <c r="A103" s="12">
        <v>100</v>
      </c>
      <c r="B103" s="13" t="s">
        <v>264</v>
      </c>
      <c r="C103" s="14" t="s">
        <v>265</v>
      </c>
      <c r="D103" s="14" t="s">
        <v>222</v>
      </c>
      <c r="E103" s="15">
        <v>1</v>
      </c>
      <c r="F103" s="16">
        <v>1</v>
      </c>
      <c r="G103" s="17">
        <f>E103 * F103 * 570.060928</f>
        <v>570.06092799999999</v>
      </c>
      <c r="H103" s="17">
        <f>E103 * F103 * 1728.075322</f>
        <v>1728.0753219999999</v>
      </c>
      <c r="I103" s="17">
        <f t="shared" si="13"/>
        <v>0</v>
      </c>
      <c r="J103" s="17">
        <f>E103 * F103 * 571.20105</f>
        <v>571.20105000000001</v>
      </c>
      <c r="K103" s="17">
        <f>E103 * F103 * 439.008607</f>
        <v>439.00860699999998</v>
      </c>
      <c r="L103" s="24">
        <f t="shared" si="14"/>
        <v>330.83459069999998</v>
      </c>
      <c r="M103" s="18">
        <f>SUM(G103:K103)</f>
        <v>3308.3459069999999</v>
      </c>
    </row>
    <row r="104" spans="1:13">
      <c r="A104" s="12">
        <v>101</v>
      </c>
      <c r="B104" s="13" t="s">
        <v>266</v>
      </c>
      <c r="C104" s="14" t="s">
        <v>267</v>
      </c>
      <c r="D104" s="14" t="s">
        <v>222</v>
      </c>
      <c r="E104" s="15">
        <v>1</v>
      </c>
      <c r="F104" s="16">
        <v>1</v>
      </c>
      <c r="G104" s="17">
        <f>E104 * F104 * 639.42651</f>
        <v>639.42651000000001</v>
      </c>
      <c r="H104" s="17">
        <f>E104 * F104 * 1728.075322</f>
        <v>1728.0753219999999</v>
      </c>
      <c r="I104" s="17">
        <f t="shared" si="13"/>
        <v>0</v>
      </c>
      <c r="J104" s="17">
        <f>E104 * F104 * 640.705363</f>
        <v>640.70536300000003</v>
      </c>
      <c r="K104" s="17">
        <f>E104 * F104 * 460.2557</f>
        <v>460.25569999999999</v>
      </c>
      <c r="L104" s="24">
        <f t="shared" si="14"/>
        <v>346.84628950000001</v>
      </c>
      <c r="M104" s="18">
        <f>SUM(G104:K104)</f>
        <v>3468.4628950000001</v>
      </c>
    </row>
    <row r="105" spans="1:13">
      <c r="A105" s="12">
        <v>102</v>
      </c>
      <c r="B105" s="13" t="s">
        <v>268</v>
      </c>
      <c r="C105" s="14" t="s">
        <v>269</v>
      </c>
      <c r="D105" s="14" t="s">
        <v>222</v>
      </c>
      <c r="E105" s="15">
        <v>1</v>
      </c>
      <c r="F105" s="16">
        <v>1</v>
      </c>
      <c r="G105" s="17">
        <f>E105 * F105 * 539.98634</f>
        <v>539.98634000000004</v>
      </c>
      <c r="H105" s="17">
        <f>E105 * F105 * 1728.075322</f>
        <v>1728.0753219999999</v>
      </c>
      <c r="I105" s="17">
        <f t="shared" si="13"/>
        <v>0</v>
      </c>
      <c r="J105" s="17">
        <f>E105 * F105 * 541.066313</f>
        <v>541.06631300000004</v>
      </c>
      <c r="K105" s="17">
        <f>E105 * F105 * 429.796579999999</f>
        <v>429.79657999999898</v>
      </c>
      <c r="L105" s="24">
        <f t="shared" si="14"/>
        <v>323.89245549999993</v>
      </c>
      <c r="M105" s="18">
        <f>SUM(G105:K105)</f>
        <v>3238.9245549999991</v>
      </c>
    </row>
    <row r="106" spans="1:13">
      <c r="A106" s="12">
        <v>103</v>
      </c>
      <c r="B106" s="13" t="s">
        <v>270</v>
      </c>
      <c r="C106" s="14" t="s">
        <v>271</v>
      </c>
      <c r="D106" s="14" t="s">
        <v>222</v>
      </c>
      <c r="E106" s="15">
        <v>1</v>
      </c>
      <c r="F106" s="16">
        <v>1</v>
      </c>
      <c r="G106" s="17">
        <f>E106 * F106 * 589.463888</f>
        <v>589.463888</v>
      </c>
      <c r="H106" s="17">
        <f>E106 * F106 * 1728.075322</f>
        <v>1728.0753219999999</v>
      </c>
      <c r="I106" s="17">
        <f t="shared" si="13"/>
        <v>0</v>
      </c>
      <c r="J106" s="17">
        <f>E106 * F106 * 590.642816</f>
        <v>590.64281600000004</v>
      </c>
      <c r="K106" s="17">
        <f>E106 * F106 * 444.95185</f>
        <v>444.95184999999998</v>
      </c>
      <c r="L106" s="24">
        <f t="shared" si="14"/>
        <v>335.3133876</v>
      </c>
      <c r="M106" s="18">
        <f>SUM(G106:K106)</f>
        <v>3353.1338759999999</v>
      </c>
    </row>
    <row r="107" spans="1:13" ht="25.5">
      <c r="A107" s="12">
        <v>104</v>
      </c>
      <c r="B107" s="13" t="s">
        <v>272</v>
      </c>
      <c r="C107" s="14" t="s">
        <v>273</v>
      </c>
      <c r="D107" s="14" t="s">
        <v>274</v>
      </c>
      <c r="E107" s="15">
        <v>1</v>
      </c>
      <c r="F107" s="16">
        <v>1</v>
      </c>
      <c r="G107" s="17">
        <f>E107 * F107 * 145.5222</f>
        <v>145.5222</v>
      </c>
      <c r="H107" s="17">
        <f>E107 * F107 * 1264.152</f>
        <v>1264.152</v>
      </c>
      <c r="I107" s="17">
        <f t="shared" si="13"/>
        <v>0</v>
      </c>
      <c r="J107" s="17">
        <f>E107 * F107 * 145.813244</f>
        <v>145.813244</v>
      </c>
      <c r="K107" s="17">
        <f>E107 * F107 * 237.989579</f>
        <v>237.98957899999999</v>
      </c>
      <c r="L107" s="24">
        <f t="shared" si="14"/>
        <v>179.34770229999998</v>
      </c>
      <c r="M107" s="18">
        <f>SUM(G107:K107)</f>
        <v>1793.4770229999999</v>
      </c>
    </row>
    <row r="108" spans="1:13" ht="25.5">
      <c r="A108" s="12">
        <v>105</v>
      </c>
      <c r="B108" s="13" t="s">
        <v>275</v>
      </c>
      <c r="C108" s="14" t="s">
        <v>276</v>
      </c>
      <c r="D108" s="14" t="s">
        <v>274</v>
      </c>
      <c r="E108" s="15">
        <v>1</v>
      </c>
      <c r="F108" s="16">
        <v>1</v>
      </c>
      <c r="G108" s="17">
        <f>E108 * F108 * 160.07442</f>
        <v>160.07442</v>
      </c>
      <c r="H108" s="17">
        <f>E108 * F108 * 1264.152</f>
        <v>1264.152</v>
      </c>
      <c r="I108" s="17">
        <f t="shared" si="13"/>
        <v>0</v>
      </c>
      <c r="J108" s="17">
        <f>E108 * F108 * 160.394569</f>
        <v>160.39456899999999</v>
      </c>
      <c r="K108" s="17">
        <f>E108 * F108 * 242.447012</f>
        <v>242.447012</v>
      </c>
      <c r="L108" s="24">
        <f t="shared" si="14"/>
        <v>182.70680010000001</v>
      </c>
      <c r="M108" s="18">
        <f>SUM(G108:K108)</f>
        <v>1827.0680010000001</v>
      </c>
    </row>
    <row r="109" spans="1:13" ht="25.5">
      <c r="A109" s="12">
        <v>106</v>
      </c>
      <c r="B109" s="13" t="s">
        <v>277</v>
      </c>
      <c r="C109" s="14" t="s">
        <v>278</v>
      </c>
      <c r="D109" s="14" t="s">
        <v>274</v>
      </c>
      <c r="E109" s="15">
        <v>1</v>
      </c>
      <c r="F109" s="16">
        <v>1</v>
      </c>
      <c r="G109" s="17">
        <f>E109 * F109 * 177.05201</f>
        <v>177.05201</v>
      </c>
      <c r="H109" s="17">
        <f>E109 * F109 * 1247.568</f>
        <v>1247.568</v>
      </c>
      <c r="I109" s="17">
        <f t="shared" si="13"/>
        <v>0</v>
      </c>
      <c r="J109" s="17">
        <f>E109 * F109 * 177.406114</f>
        <v>177.406114</v>
      </c>
      <c r="K109" s="17">
        <f>E109 * F109 * 245.109997</f>
        <v>245.10999699999999</v>
      </c>
      <c r="L109" s="24">
        <f t="shared" si="14"/>
        <v>184.71361210000001</v>
      </c>
      <c r="M109" s="18">
        <f>SUM(G109:K109)</f>
        <v>1847.136121</v>
      </c>
    </row>
    <row r="110" spans="1:13" ht="38.25">
      <c r="A110" s="12">
        <v>107</v>
      </c>
      <c r="B110" s="13" t="s">
        <v>279</v>
      </c>
      <c r="C110" s="14" t="s">
        <v>280</v>
      </c>
      <c r="D110" s="14" t="s">
        <v>281</v>
      </c>
      <c r="E110" s="15">
        <v>1</v>
      </c>
      <c r="F110" s="16">
        <v>1</v>
      </c>
      <c r="G110" s="17">
        <f>E110 * F110 * 125603.2456</f>
        <v>125603.24559999999</v>
      </c>
      <c r="H110" s="17">
        <f>E110 * F110 * 1088465.702729</f>
        <v>1088465.702729</v>
      </c>
      <c r="I110" s="17">
        <f t="shared" si="13"/>
        <v>0</v>
      </c>
      <c r="J110" s="17">
        <f>E110 * F110 * 125854.452091</f>
        <v>125854.452091</v>
      </c>
      <c r="K110" s="17">
        <f>E110 * F110 * 205008.280264</f>
        <v>205008.280264</v>
      </c>
      <c r="L110" s="24">
        <f t="shared" ref="L110:L130" si="15">M110/E110/F110/100</f>
        <v>15449.316806840001</v>
      </c>
      <c r="M110" s="18">
        <f>SUM(G110:K110)</f>
        <v>1544931.680684</v>
      </c>
    </row>
    <row r="111" spans="1:13">
      <c r="A111" s="12">
        <v>108</v>
      </c>
      <c r="B111" s="13" t="s">
        <v>282</v>
      </c>
      <c r="C111" s="14" t="s">
        <v>283</v>
      </c>
      <c r="D111" s="14" t="s">
        <v>284</v>
      </c>
      <c r="E111" s="15">
        <v>1</v>
      </c>
      <c r="F111" s="16">
        <v>1</v>
      </c>
      <c r="G111" s="17">
        <f>E111 * F111 * 17263.78366</f>
        <v>17263.783660000001</v>
      </c>
      <c r="H111" s="17">
        <f>E111 * F111 * 136888.833618</f>
        <v>136888.833618</v>
      </c>
      <c r="I111" s="17">
        <f t="shared" si="13"/>
        <v>0</v>
      </c>
      <c r="J111" s="17">
        <f>E111 * F111 * 17298.311227</f>
        <v>17298.311226999998</v>
      </c>
      <c r="K111" s="17">
        <f>E111 * F111 * 26231.992062</f>
        <v>26231.992062000001</v>
      </c>
      <c r="L111" s="24">
        <f t="shared" si="15"/>
        <v>1976.82920567</v>
      </c>
      <c r="M111" s="18">
        <f>SUM(G111:K111)</f>
        <v>197682.92056699999</v>
      </c>
    </row>
    <row r="112" spans="1:13">
      <c r="A112" s="12">
        <v>109</v>
      </c>
      <c r="B112" s="13" t="s">
        <v>285</v>
      </c>
      <c r="C112" s="14" t="s">
        <v>286</v>
      </c>
      <c r="D112" s="14" t="s">
        <v>287</v>
      </c>
      <c r="E112" s="15">
        <v>1</v>
      </c>
      <c r="F112" s="16">
        <v>1</v>
      </c>
      <c r="G112" s="17">
        <f>E112 * F112 * 28105.18756</f>
        <v>28105.187559999998</v>
      </c>
      <c r="H112" s="17">
        <f>E112 * F112 * 42792.320148</f>
        <v>42792.320147999999</v>
      </c>
      <c r="I112" s="17">
        <f t="shared" si="13"/>
        <v>0</v>
      </c>
      <c r="J112" s="17">
        <f>E112 * F112 * 28161.397935</f>
        <v>28161.397935000001</v>
      </c>
      <c r="K112" s="17">
        <f>E112 * F112 * 15156.012563</f>
        <v>15156.012563</v>
      </c>
      <c r="L112" s="24">
        <f t="shared" si="15"/>
        <v>1142.1491820599999</v>
      </c>
      <c r="M112" s="18">
        <f>SUM(G112:K112)</f>
        <v>114214.91820599999</v>
      </c>
    </row>
    <row r="113" spans="1:13">
      <c r="A113" s="12">
        <v>110</v>
      </c>
      <c r="B113" s="13" t="s">
        <v>288</v>
      </c>
      <c r="C113" s="14" t="s">
        <v>289</v>
      </c>
      <c r="D113" s="14" t="s">
        <v>85</v>
      </c>
      <c r="E113" s="15">
        <v>1</v>
      </c>
      <c r="F113" s="16">
        <v>1</v>
      </c>
      <c r="G113" s="17">
        <f>E113 * F113 * 18528.015953</f>
        <v>18528.015952999998</v>
      </c>
      <c r="H113" s="17">
        <f>E113 * F113 * 81370.483776</f>
        <v>81370.483775999994</v>
      </c>
      <c r="I113" s="17">
        <f t="shared" si="13"/>
        <v>0</v>
      </c>
      <c r="J113" s="17">
        <f>E113 * F113 * 18565.071985</f>
        <v>18565.071984999999</v>
      </c>
      <c r="K113" s="17">
        <f>E113 * F113 * 18124.926473</f>
        <v>18124.926473</v>
      </c>
      <c r="L113" s="24">
        <f t="shared" si="15"/>
        <v>1365.8849818699998</v>
      </c>
      <c r="M113" s="18">
        <f>SUM(G113:K113)</f>
        <v>136588.49818699999</v>
      </c>
    </row>
    <row r="114" spans="1:13" ht="25.5">
      <c r="A114" s="12">
        <v>111</v>
      </c>
      <c r="B114" s="13" t="s">
        <v>290</v>
      </c>
      <c r="C114" s="14" t="s">
        <v>291</v>
      </c>
      <c r="D114" s="14" t="s">
        <v>292</v>
      </c>
      <c r="E114" s="15">
        <v>1</v>
      </c>
      <c r="F114" s="16">
        <v>1</v>
      </c>
      <c r="G114" s="17">
        <f>E114 * F114 * 267.775777</f>
        <v>267.77577700000001</v>
      </c>
      <c r="H114" s="17">
        <f>E114 * F114 * 719.77729</f>
        <v>719.77728999999999</v>
      </c>
      <c r="I114" s="17">
        <f t="shared" si="13"/>
        <v>0</v>
      </c>
      <c r="J114" s="17">
        <f>E114 * F114 * 268.311329</f>
        <v>268.311329</v>
      </c>
      <c r="K114" s="17">
        <f>E114 * F114 * 192.147251999999</f>
        <v>192.14725199999901</v>
      </c>
      <c r="L114" s="24">
        <f>M114/E114/F114</f>
        <v>1448.011647999999</v>
      </c>
      <c r="M114" s="18">
        <f>SUM(G114:K114)</f>
        <v>1448.011647999999</v>
      </c>
    </row>
    <row r="115" spans="1:13" ht="25.5">
      <c r="A115" s="12">
        <v>112</v>
      </c>
      <c r="B115" s="13" t="s">
        <v>293</v>
      </c>
      <c r="C115" s="14" t="s">
        <v>294</v>
      </c>
      <c r="D115" s="14" t="s">
        <v>295</v>
      </c>
      <c r="E115" s="15">
        <v>1</v>
      </c>
      <c r="F115" s="16">
        <v>1</v>
      </c>
      <c r="G115" s="17">
        <f>E115 * F115 * 97700.372344</f>
        <v>97700.372344000003</v>
      </c>
      <c r="H115" s="17">
        <f>E115 * F115 * 21458.5008</f>
        <v>21458.500800000002</v>
      </c>
      <c r="I115" s="17">
        <f>E115 * F115 * 514.6456</f>
        <v>514.64559999999994</v>
      </c>
      <c r="J115" s="17">
        <f>E115 * F115 * 98363.060598</f>
        <v>98363.060597999996</v>
      </c>
      <c r="K115" s="17">
        <f>E115 * F115 * 33359.596639</f>
        <v>33359.596639000003</v>
      </c>
      <c r="L115" s="24">
        <f t="shared" si="15"/>
        <v>2513.9617598099999</v>
      </c>
      <c r="M115" s="18">
        <f>SUM(G115:K115)</f>
        <v>251396.17598100001</v>
      </c>
    </row>
    <row r="116" spans="1:13" ht="25.5">
      <c r="A116" s="12">
        <v>113</v>
      </c>
      <c r="B116" s="13" t="s">
        <v>296</v>
      </c>
      <c r="C116" s="14" t="s">
        <v>297</v>
      </c>
      <c r="D116" s="14" t="s">
        <v>298</v>
      </c>
      <c r="E116" s="15">
        <v>1</v>
      </c>
      <c r="F116" s="16">
        <v>1</v>
      </c>
      <c r="G116" s="17">
        <f>E116 * F116 * 54.7651</f>
        <v>54.765099999999997</v>
      </c>
      <c r="H116" s="17">
        <f>E116 * F116 * 531.962446</f>
        <v>531.962446</v>
      </c>
      <c r="I116" s="17">
        <f>E116 * F116 * 1.4441</f>
        <v>1.4440999999999999</v>
      </c>
      <c r="J116" s="17">
        <f>E116 * F116 * 54.8746299999999</f>
        <v>54.874629999999897</v>
      </c>
      <c r="K116" s="17">
        <f>E116 * F116 * 98.38608</f>
        <v>98.386080000000007</v>
      </c>
      <c r="L116" s="24">
        <f>M116/E116/F116</f>
        <v>741.43235599999991</v>
      </c>
      <c r="M116" s="18">
        <f>SUM(G116:K116)</f>
        <v>741.43235599999991</v>
      </c>
    </row>
    <row r="117" spans="1:13" ht="38.25">
      <c r="A117" s="12">
        <v>114</v>
      </c>
      <c r="B117" s="13" t="s">
        <v>299</v>
      </c>
      <c r="C117" s="14" t="s">
        <v>300</v>
      </c>
      <c r="D117" s="14" t="s">
        <v>301</v>
      </c>
      <c r="E117" s="15">
        <v>1</v>
      </c>
      <c r="F117" s="16">
        <v>1</v>
      </c>
      <c r="G117" s="17">
        <f>E117 * F117 * 49570.8</f>
        <v>49570.8</v>
      </c>
      <c r="H117" s="17">
        <f>E117 * F117 * 27942.366554</f>
        <v>27942.366554</v>
      </c>
      <c r="I117" s="17">
        <f t="shared" ref="I117:I148" si="16">E117 * F117 * 0</f>
        <v>0</v>
      </c>
      <c r="J117" s="17">
        <f>E117 * F117 * 49669.9416</f>
        <v>49669.941599999998</v>
      </c>
      <c r="K117" s="17">
        <f>E117 * F117 * 19459.015547</f>
        <v>19459.015546999999</v>
      </c>
      <c r="L117" s="24">
        <f t="shared" si="15"/>
        <v>1466.4212370099997</v>
      </c>
      <c r="M117" s="18">
        <f>SUM(G117:K117)</f>
        <v>146642.12370099997</v>
      </c>
    </row>
    <row r="118" spans="1:13">
      <c r="A118" s="12">
        <v>115</v>
      </c>
      <c r="B118" s="13" t="s">
        <v>302</v>
      </c>
      <c r="C118" s="14" t="s">
        <v>303</v>
      </c>
      <c r="D118" s="14" t="s">
        <v>304</v>
      </c>
      <c r="E118" s="15">
        <v>1</v>
      </c>
      <c r="F118" s="16">
        <v>1</v>
      </c>
      <c r="G118" s="17">
        <f>E118 * F118 * 14552.22</f>
        <v>14552.22</v>
      </c>
      <c r="H118" s="17">
        <f>E118 * F118 * 16974.02952</f>
        <v>16974.02952</v>
      </c>
      <c r="I118" s="17">
        <f t="shared" si="16"/>
        <v>0</v>
      </c>
      <c r="J118" s="17">
        <f>E118 * F118 * 14581.32444</f>
        <v>14581.32444</v>
      </c>
      <c r="K118" s="17">
        <f>E118 * F118 * 7054.458816</f>
        <v>7054.4588160000003</v>
      </c>
      <c r="L118" s="24">
        <f t="shared" si="15"/>
        <v>531.6203277599999</v>
      </c>
      <c r="M118" s="18">
        <f>SUM(G118:K118)</f>
        <v>53162.032775999993</v>
      </c>
    </row>
    <row r="119" spans="1:13" ht="25.5">
      <c r="A119" s="12">
        <v>116</v>
      </c>
      <c r="B119" s="13" t="s">
        <v>305</v>
      </c>
      <c r="C119" s="14" t="s">
        <v>306</v>
      </c>
      <c r="D119" s="14" t="s">
        <v>307</v>
      </c>
      <c r="E119" s="15">
        <v>1</v>
      </c>
      <c r="F119" s="16">
        <v>1</v>
      </c>
      <c r="G119" s="17">
        <f>E119 * F119 * 5335.814</f>
        <v>5335.8140000000003</v>
      </c>
      <c r="H119" s="17">
        <f>E119 * F119 * 4360.267872</f>
        <v>4360.2678720000004</v>
      </c>
      <c r="I119" s="17">
        <f t="shared" si="16"/>
        <v>0</v>
      </c>
      <c r="J119" s="17">
        <f>E119 * F119 * 5346.485628</f>
        <v>5346.4856280000004</v>
      </c>
      <c r="K119" s="17">
        <f>E119 * F119 * 2301.512828</f>
        <v>2301.5128279999999</v>
      </c>
      <c r="L119" s="24">
        <f t="shared" si="15"/>
        <v>173.44080328000001</v>
      </c>
      <c r="M119" s="18">
        <f>SUM(G119:K119)</f>
        <v>17344.080328</v>
      </c>
    </row>
    <row r="120" spans="1:13">
      <c r="A120" s="12">
        <v>117</v>
      </c>
      <c r="B120" s="13" t="s">
        <v>308</v>
      </c>
      <c r="C120" s="14" t="s">
        <v>309</v>
      </c>
      <c r="D120" s="14" t="s">
        <v>145</v>
      </c>
      <c r="E120" s="15">
        <v>1</v>
      </c>
      <c r="F120" s="16">
        <v>1</v>
      </c>
      <c r="G120" s="17">
        <f>E120 * F120 * 12611.924</f>
        <v>12611.924000000001</v>
      </c>
      <c r="H120" s="17">
        <f>E120 * F120 * 58261.072563</f>
        <v>58261.072563000002</v>
      </c>
      <c r="I120" s="17">
        <f t="shared" si="16"/>
        <v>0</v>
      </c>
      <c r="J120" s="17">
        <f>E120 * F120 * 12637.1478479999</f>
        <v>12637.1478479999</v>
      </c>
      <c r="K120" s="17">
        <f>E120 * F120 * 12777.052095</f>
        <v>12777.052094999999</v>
      </c>
      <c r="L120" s="24">
        <f t="shared" si="15"/>
        <v>962.87196505999918</v>
      </c>
      <c r="M120" s="18">
        <f>SUM(G120:K120)</f>
        <v>96287.19650599992</v>
      </c>
    </row>
    <row r="121" spans="1:13">
      <c r="A121" s="12">
        <v>118</v>
      </c>
      <c r="B121" s="13" t="s">
        <v>310</v>
      </c>
      <c r="C121" s="14" t="s">
        <v>311</v>
      </c>
      <c r="D121" s="14" t="s">
        <v>145</v>
      </c>
      <c r="E121" s="15">
        <v>1</v>
      </c>
      <c r="F121" s="16">
        <v>1</v>
      </c>
      <c r="G121" s="17">
        <f>E121 * F121 * 16712.967</f>
        <v>16712.967000000001</v>
      </c>
      <c r="H121" s="17">
        <f>E121 * F121 * 55530.500989</f>
        <v>55530.500989</v>
      </c>
      <c r="I121" s="17">
        <f t="shared" si="16"/>
        <v>0</v>
      </c>
      <c r="J121" s="17">
        <f>E121 * F121 * 16746.392934</f>
        <v>16746.392934</v>
      </c>
      <c r="K121" s="17">
        <f>E121 * F121 * 13615.4487209999</f>
        <v>13615.448720999901</v>
      </c>
      <c r="L121" s="24">
        <f t="shared" si="15"/>
        <v>1026.0530964399991</v>
      </c>
      <c r="M121" s="18">
        <f>SUM(G121:K121)</f>
        <v>102605.30964399991</v>
      </c>
    </row>
    <row r="122" spans="1:13">
      <c r="A122" s="12">
        <v>119</v>
      </c>
      <c r="B122" s="13" t="s">
        <v>312</v>
      </c>
      <c r="C122" s="14" t="s">
        <v>313</v>
      </c>
      <c r="D122" s="14" t="s">
        <v>145</v>
      </c>
      <c r="E122" s="15">
        <v>1</v>
      </c>
      <c r="F122" s="16">
        <v>1</v>
      </c>
      <c r="G122" s="17">
        <f>E122 * F122 * 7033.573</f>
        <v>7033.5730000000003</v>
      </c>
      <c r="H122" s="17">
        <f>E122 * F122 * 8971.956</f>
        <v>8971.9560000000001</v>
      </c>
      <c r="I122" s="17">
        <f t="shared" si="16"/>
        <v>0</v>
      </c>
      <c r="J122" s="17">
        <f>E122 * F122 * 7047.640146</f>
        <v>7047.6401459999997</v>
      </c>
      <c r="K122" s="17">
        <f>E122 * F122 * 3527.13488</f>
        <v>3527.1348800000001</v>
      </c>
      <c r="L122" s="24">
        <f t="shared" si="15"/>
        <v>265.80304025999999</v>
      </c>
      <c r="M122" s="18">
        <f>SUM(G122:K122)</f>
        <v>26580.304026000002</v>
      </c>
    </row>
    <row r="123" spans="1:13">
      <c r="A123" s="12">
        <v>120</v>
      </c>
      <c r="B123" s="13" t="s">
        <v>314</v>
      </c>
      <c r="C123" s="14" t="s">
        <v>315</v>
      </c>
      <c r="D123" s="14" t="s">
        <v>145</v>
      </c>
      <c r="E123" s="15">
        <v>1</v>
      </c>
      <c r="F123" s="16">
        <v>1</v>
      </c>
      <c r="G123" s="17">
        <f>E123 * F123 * 104061.87</f>
        <v>104061.87</v>
      </c>
      <c r="H123" s="17">
        <f>E123 * F123 * 5882.8284</f>
        <v>5882.8284000000003</v>
      </c>
      <c r="I123" s="17">
        <f t="shared" si="16"/>
        <v>0</v>
      </c>
      <c r="J123" s="17">
        <f>E123 * F123 * 104269.993739999</f>
        <v>104269.993739999</v>
      </c>
      <c r="K123" s="17">
        <f>E123 * F123 * 32774.847898</f>
        <v>32774.847898</v>
      </c>
      <c r="L123" s="24">
        <f t="shared" si="15"/>
        <v>2469.89540037999</v>
      </c>
      <c r="M123" s="18">
        <f>SUM(G123:K123)</f>
        <v>246989.54003799902</v>
      </c>
    </row>
    <row r="124" spans="1:13">
      <c r="A124" s="12">
        <v>121</v>
      </c>
      <c r="B124" s="13" t="s">
        <v>316</v>
      </c>
      <c r="C124" s="14" t="s">
        <v>317</v>
      </c>
      <c r="D124" s="14" t="s">
        <v>145</v>
      </c>
      <c r="E124" s="15">
        <v>1</v>
      </c>
      <c r="F124" s="16">
        <v>1</v>
      </c>
      <c r="G124" s="17">
        <f>E124 * F124 * 91448.31</f>
        <v>91448.31</v>
      </c>
      <c r="H124" s="17">
        <f>E124 * F124 * 5882.8284</f>
        <v>5882.8284000000003</v>
      </c>
      <c r="I124" s="17">
        <f t="shared" si="16"/>
        <v>0</v>
      </c>
      <c r="J124" s="17">
        <f>E124 * F124 * 91631.20662</f>
        <v>91631.206619999997</v>
      </c>
      <c r="K124" s="17">
        <f>E124 * F124 * 28911.238788</f>
        <v>28911.238787999999</v>
      </c>
      <c r="L124" s="24">
        <f t="shared" si="15"/>
        <v>2178.7358380800001</v>
      </c>
      <c r="M124" s="18">
        <f>SUM(G124:K124)</f>
        <v>217873.583808</v>
      </c>
    </row>
    <row r="125" spans="1:13">
      <c r="A125" s="12">
        <v>122</v>
      </c>
      <c r="B125" s="13" t="s">
        <v>318</v>
      </c>
      <c r="C125" s="14" t="s">
        <v>319</v>
      </c>
      <c r="D125" s="14" t="s">
        <v>320</v>
      </c>
      <c r="E125" s="15">
        <v>1</v>
      </c>
      <c r="F125" s="16">
        <v>1</v>
      </c>
      <c r="G125" s="17">
        <f>E125 * F125 * 10953.02</f>
        <v>10953.02</v>
      </c>
      <c r="H125" s="17">
        <f>E125 * F125 * 588.28284</f>
        <v>588.28283999999996</v>
      </c>
      <c r="I125" s="17">
        <f t="shared" si="16"/>
        <v>0</v>
      </c>
      <c r="J125" s="17">
        <f>E125 * F125 * 10974.9260399999</f>
        <v>10974.9260399999</v>
      </c>
      <c r="K125" s="17">
        <f>E125 * F125 * 3444.983019</f>
        <v>3444.9830189999998</v>
      </c>
      <c r="L125" s="24">
        <f t="shared" si="15"/>
        <v>259.61211898999898</v>
      </c>
      <c r="M125" s="18">
        <f>SUM(G125:K125)</f>
        <v>25961.2118989999</v>
      </c>
    </row>
    <row r="126" spans="1:13" ht="25.5">
      <c r="A126" s="12">
        <v>123</v>
      </c>
      <c r="B126" s="13" t="s">
        <v>321</v>
      </c>
      <c r="C126" s="14" t="s">
        <v>322</v>
      </c>
      <c r="D126" s="14" t="s">
        <v>323</v>
      </c>
      <c r="E126" s="15">
        <v>1</v>
      </c>
      <c r="F126" s="16">
        <v>1</v>
      </c>
      <c r="G126" s="17">
        <f>E126 * F126 * 15715.160375</f>
        <v>15715.160374999999</v>
      </c>
      <c r="H126" s="17">
        <f>E126 * F126 * 1692.9744</f>
        <v>1692.9744000000001</v>
      </c>
      <c r="I126" s="17">
        <f t="shared" si="16"/>
        <v>0</v>
      </c>
      <c r="J126" s="17">
        <f>E126 * F126 * 15746.590695</f>
        <v>15746.590695000001</v>
      </c>
      <c r="K126" s="17">
        <f>E126 * F126 * 5072.672997</f>
        <v>5072.6729969999997</v>
      </c>
      <c r="L126" s="24">
        <f t="shared" si="15"/>
        <v>382.27398467</v>
      </c>
      <c r="M126" s="18">
        <f>SUM(G126:K126)</f>
        <v>38227.398466999999</v>
      </c>
    </row>
    <row r="127" spans="1:13" ht="25.5">
      <c r="A127" s="12">
        <v>124</v>
      </c>
      <c r="B127" s="13" t="s">
        <v>324</v>
      </c>
      <c r="C127" s="14" t="s">
        <v>325</v>
      </c>
      <c r="D127" s="14" t="s">
        <v>323</v>
      </c>
      <c r="E127" s="15">
        <v>1</v>
      </c>
      <c r="F127" s="16">
        <v>1</v>
      </c>
      <c r="G127" s="17">
        <f>E127 * F127 * 20218.843425</f>
        <v>20218.843424999999</v>
      </c>
      <c r="H127" s="17">
        <f>E127 * F127 * 2229.8574</f>
        <v>2229.8573999999999</v>
      </c>
      <c r="I127" s="17">
        <f t="shared" si="16"/>
        <v>0</v>
      </c>
      <c r="J127" s="17">
        <f>E127 * F127 * 20259.281112</f>
        <v>20259.281112000001</v>
      </c>
      <c r="K127" s="17">
        <f>E127 * F127 * 6534.321236</f>
        <v>6534.3212359999998</v>
      </c>
      <c r="L127" s="24">
        <f t="shared" si="15"/>
        <v>492.42303173000005</v>
      </c>
      <c r="M127" s="18">
        <f>SUM(G127:K127)</f>
        <v>49242.303173000008</v>
      </c>
    </row>
    <row r="128" spans="1:13">
      <c r="A128" s="12">
        <v>125</v>
      </c>
      <c r="B128" s="13" t="s">
        <v>326</v>
      </c>
      <c r="C128" s="14" t="s">
        <v>327</v>
      </c>
      <c r="D128" s="14" t="s">
        <v>328</v>
      </c>
      <c r="E128" s="15">
        <v>1</v>
      </c>
      <c r="F128" s="16">
        <v>1</v>
      </c>
      <c r="G128" s="17">
        <f>E128 * F128 * 11153.43</f>
        <v>11153.43</v>
      </c>
      <c r="H128" s="17">
        <f>E128 * F128 * 1696.454952</f>
        <v>1696.454952</v>
      </c>
      <c r="I128" s="17">
        <f t="shared" si="16"/>
        <v>0</v>
      </c>
      <c r="J128" s="17">
        <f>E128 * F128 * 11175.73686</f>
        <v>11175.736860000001</v>
      </c>
      <c r="K128" s="17">
        <f>E128 * F128 * 3675.920137</f>
        <v>3675.9201370000001</v>
      </c>
      <c r="L128" s="24">
        <f t="shared" si="15"/>
        <v>277.01541949</v>
      </c>
      <c r="M128" s="18">
        <f>SUM(G128:K128)</f>
        <v>27701.541949000002</v>
      </c>
    </row>
    <row r="129" spans="1:13">
      <c r="A129" s="12">
        <v>126</v>
      </c>
      <c r="B129" s="13" t="s">
        <v>329</v>
      </c>
      <c r="C129" s="14" t="s">
        <v>330</v>
      </c>
      <c r="D129" s="14" t="s">
        <v>328</v>
      </c>
      <c r="E129" s="15">
        <v>1</v>
      </c>
      <c r="F129" s="16">
        <v>1</v>
      </c>
      <c r="G129" s="17">
        <f>E129 * F129 * 21315.444</f>
        <v>21315.444</v>
      </c>
      <c r="H129" s="17">
        <f>E129 * F129 * 7307.957098</f>
        <v>7307.9570979999999</v>
      </c>
      <c r="I129" s="17">
        <f t="shared" si="16"/>
        <v>0</v>
      </c>
      <c r="J129" s="17">
        <f>E129 * F129 * 21358.074888</f>
        <v>21358.074887999999</v>
      </c>
      <c r="K129" s="17">
        <f>E129 * F129 * 7647.165826</f>
        <v>7647.1658260000004</v>
      </c>
      <c r="L129" s="24">
        <f t="shared" si="15"/>
        <v>576.28641812000001</v>
      </c>
      <c r="M129" s="18">
        <f>SUM(G129:K129)</f>
        <v>57628.641812000002</v>
      </c>
    </row>
    <row r="130" spans="1:13" ht="25.5">
      <c r="A130" s="12">
        <v>127</v>
      </c>
      <c r="B130" s="13" t="s">
        <v>331</v>
      </c>
      <c r="C130" s="14" t="s">
        <v>332</v>
      </c>
      <c r="D130" s="14" t="s">
        <v>333</v>
      </c>
      <c r="E130" s="15">
        <v>1</v>
      </c>
      <c r="F130" s="16">
        <v>1</v>
      </c>
      <c r="G130" s="17">
        <f>E130 * F130 * 35597.315</f>
        <v>35597.315000000002</v>
      </c>
      <c r="H130" s="17">
        <f>E130 * F130 * 456904.897836</f>
        <v>456904.89783600002</v>
      </c>
      <c r="I130" s="17">
        <f t="shared" si="16"/>
        <v>0</v>
      </c>
      <c r="J130" s="17">
        <f>E130 * F130 * 35668.50963</f>
        <v>35668.50963</v>
      </c>
      <c r="K130" s="17">
        <f>E130 * F130 * 80810.120537</f>
        <v>80810.120536999995</v>
      </c>
      <c r="L130" s="24">
        <f t="shared" si="15"/>
        <v>6089.8084300299997</v>
      </c>
      <c r="M130" s="18">
        <f>SUM(G130:K130)</f>
        <v>608980.84300300002</v>
      </c>
    </row>
    <row r="131" spans="1:13" ht="25.5">
      <c r="A131" s="12">
        <v>128</v>
      </c>
      <c r="B131" s="13" t="s">
        <v>334</v>
      </c>
      <c r="C131" s="14" t="s">
        <v>335</v>
      </c>
      <c r="D131" s="14" t="s">
        <v>336</v>
      </c>
      <c r="E131" s="15">
        <v>1</v>
      </c>
      <c r="F131" s="16">
        <v>1</v>
      </c>
      <c r="G131" s="17">
        <f>E131 * F131 * 22292.00512</f>
        <v>22292.005120000002</v>
      </c>
      <c r="H131" s="17">
        <f>E131 * F131 * 52230.233917</f>
        <v>52230.233916999998</v>
      </c>
      <c r="I131" s="17">
        <f t="shared" si="16"/>
        <v>0</v>
      </c>
      <c r="J131" s="17">
        <f>E131 * F131 * 22336.58913</f>
        <v>22336.58913</v>
      </c>
      <c r="K131" s="17">
        <f>E131 * F131 * 14819.40071</f>
        <v>14819.40071</v>
      </c>
      <c r="L131" s="24">
        <f>M131/E131/F131</f>
        <v>111678.228877</v>
      </c>
      <c r="M131" s="18">
        <f>SUM(G131:K131)</f>
        <v>111678.228877</v>
      </c>
    </row>
    <row r="132" spans="1:13">
      <c r="A132" s="12">
        <v>129</v>
      </c>
      <c r="B132" s="13" t="s">
        <v>337</v>
      </c>
      <c r="C132" s="14" t="s">
        <v>338</v>
      </c>
      <c r="D132" s="14" t="s">
        <v>336</v>
      </c>
      <c r="E132" s="15">
        <v>1</v>
      </c>
      <c r="F132" s="16">
        <v>1</v>
      </c>
      <c r="G132" s="17">
        <f>E132 * F132 * 1635.3456</f>
        <v>1635.3456000000001</v>
      </c>
      <c r="H132" s="17">
        <f>E132 * F132 * 98038.08</f>
        <v>98038.080000000002</v>
      </c>
      <c r="I132" s="17">
        <f t="shared" si="16"/>
        <v>0</v>
      </c>
      <c r="J132" s="17">
        <f>E132 * F132 * 1638.61629099999</f>
        <v>1638.61629099999</v>
      </c>
      <c r="K132" s="17">
        <f>E132 * F132 * 15500.742409</f>
        <v>15500.742409</v>
      </c>
      <c r="L132" s="24">
        <f t="shared" ref="L132:L133" si="17">M132/E132/F132</f>
        <v>116812.78429999998</v>
      </c>
      <c r="M132" s="18">
        <f>SUM(G132:K132)</f>
        <v>116812.78429999998</v>
      </c>
    </row>
    <row r="133" spans="1:13">
      <c r="A133" s="12">
        <v>130</v>
      </c>
      <c r="B133" s="13" t="s">
        <v>339</v>
      </c>
      <c r="C133" s="14" t="s">
        <v>340</v>
      </c>
      <c r="D133" s="14" t="s">
        <v>336</v>
      </c>
      <c r="E133" s="15">
        <v>1</v>
      </c>
      <c r="F133" s="16">
        <v>1</v>
      </c>
      <c r="G133" s="17">
        <f>E133 * F133 * 750.28187</f>
        <v>750.28187000000003</v>
      </c>
      <c r="H133" s="17">
        <f>E133 * F133 * 0</f>
        <v>0</v>
      </c>
      <c r="I133" s="17">
        <f t="shared" si="16"/>
        <v>0</v>
      </c>
      <c r="J133" s="17">
        <f>E133 * F133 * 751.782434</f>
        <v>751.78243399999997</v>
      </c>
      <c r="K133" s="17">
        <f>E133 * F133 * 229.815837999999</f>
        <v>229.81583799999899</v>
      </c>
      <c r="L133" s="24">
        <f t="shared" si="17"/>
        <v>1731.8801419999991</v>
      </c>
      <c r="M133" s="18">
        <f>SUM(G133:K133)</f>
        <v>1731.8801419999991</v>
      </c>
    </row>
    <row r="134" spans="1:13" ht="25.5">
      <c r="A134" s="12">
        <v>131</v>
      </c>
      <c r="B134" s="13" t="s">
        <v>341</v>
      </c>
      <c r="C134" s="14" t="s">
        <v>342</v>
      </c>
      <c r="D134" s="14" t="s">
        <v>343</v>
      </c>
      <c r="E134" s="15">
        <v>1</v>
      </c>
      <c r="F134" s="16">
        <v>1</v>
      </c>
      <c r="G134" s="17">
        <f>E134 * F134 * 16110.51</f>
        <v>16110.51</v>
      </c>
      <c r="H134" s="17">
        <f>E134 * F134 * 35491.472047</f>
        <v>35491.472047000003</v>
      </c>
      <c r="I134" s="17">
        <f t="shared" si="16"/>
        <v>0</v>
      </c>
      <c r="J134" s="17">
        <f>E134 * F134 * 16142.73102</f>
        <v>16142.731019999999</v>
      </c>
      <c r="K134" s="17">
        <f>E134 * F134 * 10364.941099</f>
        <v>10364.941099</v>
      </c>
      <c r="L134" s="24">
        <f t="shared" ref="L134:L140" si="18">M134/E134/F134/100</f>
        <v>781.09654166000007</v>
      </c>
      <c r="M134" s="18">
        <f>SUM(G134:K134)</f>
        <v>78109.654166000008</v>
      </c>
    </row>
    <row r="135" spans="1:13" ht="25.5">
      <c r="A135" s="12">
        <v>132</v>
      </c>
      <c r="B135" s="13" t="s">
        <v>344</v>
      </c>
      <c r="C135" s="14" t="s">
        <v>345</v>
      </c>
      <c r="D135" s="14" t="s">
        <v>343</v>
      </c>
      <c r="E135" s="15">
        <v>1</v>
      </c>
      <c r="F135" s="16">
        <v>1</v>
      </c>
      <c r="G135" s="17">
        <f>E135 * F135 * 17349.78</f>
        <v>17349.78</v>
      </c>
      <c r="H135" s="17">
        <f>E135 * F135 * 56478.272047</f>
        <v>56478.272046999999</v>
      </c>
      <c r="I135" s="17">
        <f t="shared" si="16"/>
        <v>0</v>
      </c>
      <c r="J135" s="17">
        <f>E135 * F135 * 17384.47956</f>
        <v>17384.47956</v>
      </c>
      <c r="K135" s="17">
        <f>E135 * F135 * 13955.517336</f>
        <v>13955.517336000001</v>
      </c>
      <c r="L135" s="24">
        <f t="shared" si="18"/>
        <v>1051.6804894300001</v>
      </c>
      <c r="M135" s="18">
        <f>SUM(G135:K135)</f>
        <v>105168.04894300002</v>
      </c>
    </row>
    <row r="136" spans="1:13" ht="25.5">
      <c r="A136" s="12">
        <v>133</v>
      </c>
      <c r="B136" s="13" t="s">
        <v>346</v>
      </c>
      <c r="C136" s="14" t="s">
        <v>347</v>
      </c>
      <c r="D136" s="14" t="s">
        <v>343</v>
      </c>
      <c r="E136" s="15">
        <v>1</v>
      </c>
      <c r="F136" s="16">
        <v>1</v>
      </c>
      <c r="G136" s="17">
        <f>E136 * F136 * 25686.25396</f>
        <v>25686.253959999998</v>
      </c>
      <c r="H136" s="17">
        <f>E136 * F136 * 75589.811825</f>
        <v>75589.811824999997</v>
      </c>
      <c r="I136" s="17">
        <f t="shared" si="16"/>
        <v>0</v>
      </c>
      <c r="J136" s="17">
        <f>E136 * F136 * 25737.626468</f>
        <v>25737.626467999999</v>
      </c>
      <c r="K136" s="17">
        <f>E136 * F136 * 19433.094914</f>
        <v>19433.094914000001</v>
      </c>
      <c r="L136" s="24">
        <f t="shared" si="18"/>
        <v>1464.46787167</v>
      </c>
      <c r="M136" s="18">
        <f>SUM(G136:K136)</f>
        <v>146446.787167</v>
      </c>
    </row>
    <row r="137" spans="1:13" ht="25.5">
      <c r="A137" s="12">
        <v>134</v>
      </c>
      <c r="B137" s="13" t="s">
        <v>348</v>
      </c>
      <c r="C137" s="14" t="s">
        <v>349</v>
      </c>
      <c r="D137" s="14" t="s">
        <v>343</v>
      </c>
      <c r="E137" s="15">
        <v>1</v>
      </c>
      <c r="F137" s="16">
        <v>1</v>
      </c>
      <c r="G137" s="17">
        <f>E137 * F137 * 29399.025173</f>
        <v>29399.025173000002</v>
      </c>
      <c r="H137" s="17">
        <f>E137 * F137 * 87885.851951</f>
        <v>87885.851951000004</v>
      </c>
      <c r="I137" s="17">
        <f t="shared" si="16"/>
        <v>0</v>
      </c>
      <c r="J137" s="17">
        <f>E137 * F137 * 29457.823223</f>
        <v>29457.823222999999</v>
      </c>
      <c r="K137" s="17">
        <f>E137 * F137 * 22451.633153</f>
        <v>22451.633152999999</v>
      </c>
      <c r="L137" s="24">
        <f t="shared" si="18"/>
        <v>1691.9433350000002</v>
      </c>
      <c r="M137" s="18">
        <f>SUM(G137:K137)</f>
        <v>169194.33350000001</v>
      </c>
    </row>
    <row r="138" spans="1:13" ht="25.5">
      <c r="A138" s="12">
        <v>135</v>
      </c>
      <c r="B138" s="13" t="s">
        <v>350</v>
      </c>
      <c r="C138" s="14" t="s">
        <v>351</v>
      </c>
      <c r="D138" s="14" t="s">
        <v>343</v>
      </c>
      <c r="E138" s="15">
        <v>1</v>
      </c>
      <c r="F138" s="16">
        <v>1</v>
      </c>
      <c r="G138" s="17">
        <f>E138 * F138 * 38238.91512</f>
        <v>38238.915119999998</v>
      </c>
      <c r="H138" s="17">
        <f>E138 * F138 * 95113.197845</f>
        <v>95113.197845000002</v>
      </c>
      <c r="I138" s="17">
        <f t="shared" si="16"/>
        <v>0</v>
      </c>
      <c r="J138" s="17">
        <f>E138 * F138 * 38315.39295</f>
        <v>38315.392950000001</v>
      </c>
      <c r="K138" s="17">
        <f>E138 * F138 * 26265.128405</f>
        <v>26265.128404999999</v>
      </c>
      <c r="L138" s="24">
        <f t="shared" si="18"/>
        <v>1979.3263432000001</v>
      </c>
      <c r="M138" s="18">
        <f>SUM(G138:K138)</f>
        <v>197932.63432000001</v>
      </c>
    </row>
    <row r="139" spans="1:13" ht="25.5">
      <c r="A139" s="12">
        <v>136</v>
      </c>
      <c r="B139" s="13" t="s">
        <v>352</v>
      </c>
      <c r="C139" s="14" t="s">
        <v>353</v>
      </c>
      <c r="D139" s="14" t="s">
        <v>343</v>
      </c>
      <c r="E139" s="15">
        <v>1</v>
      </c>
      <c r="F139" s="16">
        <v>1</v>
      </c>
      <c r="G139" s="17">
        <f>E139 * F139 * 41880.716562</f>
        <v>41880.716562000001</v>
      </c>
      <c r="H139" s="17">
        <f>E139 * F139 * 115806.307536</f>
        <v>115806.30753599999</v>
      </c>
      <c r="I139" s="17">
        <f t="shared" si="16"/>
        <v>0</v>
      </c>
      <c r="J139" s="17">
        <f>E139 * F139 * 41964.477995</f>
        <v>41964.477995000001</v>
      </c>
      <c r="K139" s="17">
        <f>E139 * F139 * 30546.67982</f>
        <v>30546.679820000001</v>
      </c>
      <c r="L139" s="24">
        <f t="shared" si="18"/>
        <v>2301.9818191299996</v>
      </c>
      <c r="M139" s="18">
        <f>SUM(G139:K139)</f>
        <v>230198.18191299998</v>
      </c>
    </row>
    <row r="140" spans="1:13" ht="25.5">
      <c r="A140" s="12">
        <v>137</v>
      </c>
      <c r="B140" s="13" t="s">
        <v>354</v>
      </c>
      <c r="C140" s="14" t="s">
        <v>355</v>
      </c>
      <c r="D140" s="14" t="s">
        <v>343</v>
      </c>
      <c r="E140" s="15">
        <v>1</v>
      </c>
      <c r="F140" s="16">
        <v>1</v>
      </c>
      <c r="G140" s="17">
        <f>E140 * F140 * 30981.75</f>
        <v>30981.75</v>
      </c>
      <c r="H140" s="17">
        <f>E140 * F140 * 172642.610314</f>
        <v>172642.61031399999</v>
      </c>
      <c r="I140" s="17">
        <f t="shared" si="16"/>
        <v>0</v>
      </c>
      <c r="J140" s="17">
        <f>E140 * F140 * 31043.7134999999</f>
        <v>31043.7134999999</v>
      </c>
      <c r="K140" s="17">
        <f>E140 * F140 * 35904.215294</f>
        <v>35904.215294000001</v>
      </c>
      <c r="L140" s="24">
        <f t="shared" si="18"/>
        <v>2705.7228910799986</v>
      </c>
      <c r="M140" s="18">
        <f>SUM(G140:K140)</f>
        <v>270572.28910799988</v>
      </c>
    </row>
    <row r="141" spans="1:13" ht="51">
      <c r="A141" s="12">
        <v>138</v>
      </c>
      <c r="B141" s="13" t="s">
        <v>356</v>
      </c>
      <c r="C141" s="14" t="s">
        <v>357</v>
      </c>
      <c r="D141" s="14" t="s">
        <v>358</v>
      </c>
      <c r="E141" s="15">
        <v>1</v>
      </c>
      <c r="F141" s="16">
        <v>1</v>
      </c>
      <c r="G141" s="17">
        <f>E141 * F141 * 440.859055</f>
        <v>440.85905500000001</v>
      </c>
      <c r="H141" s="17">
        <f>E141 * F141 * 264.082824</f>
        <v>264.08282400000002</v>
      </c>
      <c r="I141" s="17">
        <f t="shared" si="16"/>
        <v>0</v>
      </c>
      <c r="J141" s="17">
        <f>E141 * F141 * 441.740774</f>
        <v>441.74077399999999</v>
      </c>
      <c r="K141" s="17">
        <f>E141 * F141 * 175.442446</f>
        <v>175.44244599999999</v>
      </c>
      <c r="L141" s="24">
        <f t="shared" ref="L141:L143" si="19">M141/E141/F141</f>
        <v>1322.1250989999999</v>
      </c>
      <c r="M141" s="18">
        <f>SUM(G141:K141)</f>
        <v>1322.1250989999999</v>
      </c>
    </row>
    <row r="142" spans="1:13" ht="51">
      <c r="A142" s="12">
        <v>139</v>
      </c>
      <c r="B142" s="13" t="s">
        <v>359</v>
      </c>
      <c r="C142" s="14" t="s">
        <v>360</v>
      </c>
      <c r="D142" s="14" t="s">
        <v>358</v>
      </c>
      <c r="E142" s="15">
        <v>1</v>
      </c>
      <c r="F142" s="16">
        <v>1</v>
      </c>
      <c r="G142" s="17">
        <f>E142 * F142 * 476.45637</f>
        <v>476.45636999999999</v>
      </c>
      <c r="H142" s="17">
        <f>E142 * F142 * 321.727464</f>
        <v>321.727464</v>
      </c>
      <c r="I142" s="17">
        <f t="shared" si="16"/>
        <v>0</v>
      </c>
      <c r="J142" s="17">
        <f>E142 * F142 * 477.409282999999</f>
        <v>477.40928299999899</v>
      </c>
      <c r="K142" s="17">
        <f>E142 * F142 * 195.165747</f>
        <v>195.16574700000001</v>
      </c>
      <c r="L142" s="24">
        <f t="shared" si="19"/>
        <v>1470.758863999999</v>
      </c>
      <c r="M142" s="18">
        <f>SUM(G142:K142)</f>
        <v>1470.758863999999</v>
      </c>
    </row>
    <row r="143" spans="1:13" ht="51">
      <c r="A143" s="12">
        <v>140</v>
      </c>
      <c r="B143" s="13" t="s">
        <v>361</v>
      </c>
      <c r="C143" s="14" t="s">
        <v>362</v>
      </c>
      <c r="D143" s="14" t="s">
        <v>358</v>
      </c>
      <c r="E143" s="15">
        <v>1</v>
      </c>
      <c r="F143" s="16">
        <v>1</v>
      </c>
      <c r="G143" s="17">
        <f>E143 * F143 * 501.100665</f>
        <v>501.10066499999999</v>
      </c>
      <c r="H143" s="17">
        <f>E143 * F143 * 383.251344</f>
        <v>383.25134400000002</v>
      </c>
      <c r="I143" s="17">
        <f t="shared" si="16"/>
        <v>0</v>
      </c>
      <c r="J143" s="17">
        <f>E143 * F143 * 502.102867</f>
        <v>502.102867</v>
      </c>
      <c r="K143" s="17">
        <f>E143 * F143 * 212.127595999999</f>
        <v>212.12759599999899</v>
      </c>
      <c r="L143" s="24">
        <f t="shared" si="19"/>
        <v>1598.5824719999989</v>
      </c>
      <c r="M143" s="18">
        <f>SUM(G143:K143)</f>
        <v>1598.5824719999989</v>
      </c>
    </row>
    <row r="144" spans="1:13" ht="25.5">
      <c r="A144" s="12">
        <v>141</v>
      </c>
      <c r="B144" s="13" t="s">
        <v>363</v>
      </c>
      <c r="C144" s="14" t="s">
        <v>364</v>
      </c>
      <c r="D144" s="14" t="s">
        <v>365</v>
      </c>
      <c r="E144" s="15">
        <v>1</v>
      </c>
      <c r="F144" s="16">
        <v>1</v>
      </c>
      <c r="G144" s="17">
        <f>E144 * F144 * 13727.0375</f>
        <v>13727.0375</v>
      </c>
      <c r="H144" s="17">
        <f>E144 * F144 * 1299752.06592</f>
        <v>1299752.06592</v>
      </c>
      <c r="I144" s="17">
        <f t="shared" si="16"/>
        <v>0</v>
      </c>
      <c r="J144" s="17">
        <f>E144 * F144 * 13754.491575</f>
        <v>13754.491575</v>
      </c>
      <c r="K144" s="17">
        <f>E144 * F144 * 203066.740034</f>
        <v>203066.74003399999</v>
      </c>
      <c r="L144" s="24">
        <f t="shared" ref="L144:L152" si="20">M144/E144/F144/100</f>
        <v>15303.003350290002</v>
      </c>
      <c r="M144" s="18">
        <f>SUM(G144:K144)</f>
        <v>1530300.3350290002</v>
      </c>
    </row>
    <row r="145" spans="1:13" ht="25.5">
      <c r="A145" s="12">
        <v>142</v>
      </c>
      <c r="B145" s="13" t="s">
        <v>366</v>
      </c>
      <c r="C145" s="14" t="s">
        <v>367</v>
      </c>
      <c r="D145" s="14" t="s">
        <v>365</v>
      </c>
      <c r="E145" s="15">
        <v>1</v>
      </c>
      <c r="F145" s="16">
        <v>1</v>
      </c>
      <c r="G145" s="17">
        <f>E145 * F145 * 17470.775</f>
        <v>17470.775000000001</v>
      </c>
      <c r="H145" s="17">
        <f>E145 * F145 * 2065587.26592</f>
        <v>2065587.2659199999</v>
      </c>
      <c r="I145" s="17">
        <f t="shared" si="16"/>
        <v>0</v>
      </c>
      <c r="J145" s="17">
        <f>E145 * F145 * 17505.7165499999</f>
        <v>17505.716549999899</v>
      </c>
      <c r="K145" s="17">
        <f>E145 * F145 * 321386.254893</f>
        <v>321386.254893</v>
      </c>
      <c r="L145" s="24">
        <f t="shared" si="20"/>
        <v>24219.500123629998</v>
      </c>
      <c r="M145" s="18">
        <f>SUM(G145:K145)</f>
        <v>2421950.0123629998</v>
      </c>
    </row>
    <row r="146" spans="1:13">
      <c r="A146" s="12">
        <v>143</v>
      </c>
      <c r="B146" s="13" t="s">
        <v>368</v>
      </c>
      <c r="C146" s="14" t="s">
        <v>369</v>
      </c>
      <c r="D146" s="14" t="s">
        <v>370</v>
      </c>
      <c r="E146" s="15">
        <v>1</v>
      </c>
      <c r="F146" s="16">
        <v>1</v>
      </c>
      <c r="G146" s="17">
        <f>E146 * F146 * 7701.7545</f>
        <v>7701.7545</v>
      </c>
      <c r="H146" s="17">
        <f>E146 * F146 * 117790.614288</f>
        <v>117790.614288</v>
      </c>
      <c r="I146" s="17">
        <f t="shared" si="16"/>
        <v>0</v>
      </c>
      <c r="J146" s="17">
        <f>E146 * F146 * 7717.158009</f>
        <v>7717.1580089999998</v>
      </c>
      <c r="K146" s="17">
        <f>E146 * F146 * 20381.0576</f>
        <v>20381.0576</v>
      </c>
      <c r="L146" s="24">
        <f t="shared" si="20"/>
        <v>1535.90584397</v>
      </c>
      <c r="M146" s="18">
        <f>SUM(G146:K146)</f>
        <v>153590.584397</v>
      </c>
    </row>
    <row r="147" spans="1:13">
      <c r="A147" s="12">
        <v>144</v>
      </c>
      <c r="B147" s="13" t="s">
        <v>371</v>
      </c>
      <c r="C147" s="14" t="s">
        <v>372</v>
      </c>
      <c r="D147" s="14" t="s">
        <v>370</v>
      </c>
      <c r="E147" s="15">
        <v>1</v>
      </c>
      <c r="F147" s="16">
        <v>1</v>
      </c>
      <c r="G147" s="17">
        <f>E147 * F147 * 7701.7545</f>
        <v>7701.7545</v>
      </c>
      <c r="H147" s="17">
        <f>E147 * F147 * 144394.914288</f>
        <v>144394.914288</v>
      </c>
      <c r="I147" s="17">
        <f t="shared" si="16"/>
        <v>0</v>
      </c>
      <c r="J147" s="17">
        <f>E147 * F147 * 7717.158009</f>
        <v>7717.1580089999998</v>
      </c>
      <c r="K147" s="17">
        <f>E147 * F147 * 24451.5155</f>
        <v>24451.515500000001</v>
      </c>
      <c r="L147" s="24">
        <f t="shared" si="20"/>
        <v>1842.6534229700003</v>
      </c>
      <c r="M147" s="18">
        <f>SUM(G147:K147)</f>
        <v>184265.34229700002</v>
      </c>
    </row>
    <row r="148" spans="1:13" ht="25.5">
      <c r="A148" s="12">
        <v>145</v>
      </c>
      <c r="B148" s="13" t="s">
        <v>373</v>
      </c>
      <c r="C148" s="14" t="s">
        <v>374</v>
      </c>
      <c r="D148" s="14" t="s">
        <v>375</v>
      </c>
      <c r="E148" s="15">
        <v>1</v>
      </c>
      <c r="F148" s="16">
        <v>1</v>
      </c>
      <c r="G148" s="17">
        <f>E148 * F148 * 22988.76525</f>
        <v>22988.76525</v>
      </c>
      <c r="H148" s="17">
        <f>E148 * F148 * 335688.871338</f>
        <v>335688.871338</v>
      </c>
      <c r="I148" s="17">
        <f t="shared" si="16"/>
        <v>0</v>
      </c>
      <c r="J148" s="17">
        <f>E148 * F148 * 23034.742781</f>
        <v>23034.742781000001</v>
      </c>
      <c r="K148" s="17">
        <f>E148 * F148 * 58401.994043</f>
        <v>58401.994042999999</v>
      </c>
      <c r="L148" s="24">
        <f t="shared" si="20"/>
        <v>4401.1437341199999</v>
      </c>
      <c r="M148" s="18">
        <f>SUM(G148:K148)</f>
        <v>440114.37341199996</v>
      </c>
    </row>
    <row r="149" spans="1:13" ht="38.25">
      <c r="A149" s="12">
        <v>146</v>
      </c>
      <c r="B149" s="13" t="s">
        <v>376</v>
      </c>
      <c r="C149" s="14" t="s">
        <v>377</v>
      </c>
      <c r="D149" s="14" t="s">
        <v>378</v>
      </c>
      <c r="E149" s="15">
        <v>1</v>
      </c>
      <c r="F149" s="16">
        <v>1</v>
      </c>
      <c r="G149" s="17">
        <f>E149 * F149 * 29955.05775</f>
        <v>29955.05775</v>
      </c>
      <c r="H149" s="17">
        <f>E149 * F149 * 6128.281605</f>
        <v>6128.2816050000001</v>
      </c>
      <c r="I149" s="17">
        <f t="shared" ref="I149:I180" si="21">E149 * F149 * 0</f>
        <v>0</v>
      </c>
      <c r="J149" s="17">
        <f>E149 * F149 * 30014.967866</f>
        <v>30014.967865999999</v>
      </c>
      <c r="K149" s="17">
        <f>E149 * F149 * 10113.0410039999</f>
        <v>10113.041003999901</v>
      </c>
      <c r="L149" s="24">
        <f t="shared" si="20"/>
        <v>762.11348224999892</v>
      </c>
      <c r="M149" s="18">
        <f>SUM(G149:K149)</f>
        <v>76211.348224999892</v>
      </c>
    </row>
    <row r="150" spans="1:13" ht="38.25">
      <c r="A150" s="12">
        <v>147</v>
      </c>
      <c r="B150" s="13" t="s">
        <v>379</v>
      </c>
      <c r="C150" s="14" t="s">
        <v>380</v>
      </c>
      <c r="D150" s="14" t="s">
        <v>378</v>
      </c>
      <c r="E150" s="15">
        <v>1</v>
      </c>
      <c r="F150" s="16">
        <v>1</v>
      </c>
      <c r="G150" s="17">
        <f>E150 * F150 * 29955.05775</f>
        <v>29955.05775</v>
      </c>
      <c r="H150" s="17">
        <f>E150 * F150 * 1346.043993</f>
        <v>1346.043993</v>
      </c>
      <c r="I150" s="17">
        <f t="shared" si="21"/>
        <v>0</v>
      </c>
      <c r="J150" s="17">
        <f>E150 * F150 * 30014.967866</f>
        <v>30014.967865999999</v>
      </c>
      <c r="K150" s="17">
        <f>E150 * F150 * 9381.35865</f>
        <v>9381.3586500000001</v>
      </c>
      <c r="L150" s="24">
        <f t="shared" si="20"/>
        <v>706.97428258999992</v>
      </c>
      <c r="M150" s="18">
        <f>SUM(G150:K150)</f>
        <v>70697.428258999993</v>
      </c>
    </row>
    <row r="151" spans="1:13" ht="38.25">
      <c r="A151" s="12">
        <v>148</v>
      </c>
      <c r="B151" s="13" t="s">
        <v>381</v>
      </c>
      <c r="C151" s="14" t="s">
        <v>382</v>
      </c>
      <c r="D151" s="14" t="s">
        <v>378</v>
      </c>
      <c r="E151" s="15">
        <v>1</v>
      </c>
      <c r="F151" s="16">
        <v>1</v>
      </c>
      <c r="G151" s="17">
        <f>E151 * F151 * 29955.05775</f>
        <v>29955.05775</v>
      </c>
      <c r="H151" s="17">
        <f>E151 * F151 * 3251.991378</f>
        <v>3251.9913780000002</v>
      </c>
      <c r="I151" s="17">
        <f t="shared" si="21"/>
        <v>0</v>
      </c>
      <c r="J151" s="17">
        <f>E151 * F151 * 30014.967866</f>
        <v>30014.967865999999</v>
      </c>
      <c r="K151" s="17">
        <f>E151 * F151 * 9672.9686</f>
        <v>9672.9686000000002</v>
      </c>
      <c r="L151" s="24">
        <f t="shared" si="20"/>
        <v>728.94985594000002</v>
      </c>
      <c r="M151" s="18">
        <f>SUM(G151:K151)</f>
        <v>72894.985593999998</v>
      </c>
    </row>
    <row r="152" spans="1:13">
      <c r="A152" s="12">
        <v>149</v>
      </c>
      <c r="B152" s="13" t="s">
        <v>383</v>
      </c>
      <c r="C152" s="14" t="s">
        <v>384</v>
      </c>
      <c r="D152" s="14" t="s">
        <v>385</v>
      </c>
      <c r="E152" s="15">
        <v>1</v>
      </c>
      <c r="F152" s="16">
        <v>1</v>
      </c>
      <c r="G152" s="17">
        <f>E152 * F152 * 569.55704</f>
        <v>569.55704000000003</v>
      </c>
      <c r="H152" s="17">
        <f>E152 * F152 * 44142.63996</f>
        <v>44142.63996</v>
      </c>
      <c r="I152" s="17">
        <f t="shared" si="21"/>
        <v>0</v>
      </c>
      <c r="J152" s="17">
        <f>E152 * F152 * 570.696154</f>
        <v>570.69615399999998</v>
      </c>
      <c r="K152" s="17">
        <f>E152 * F152 * 6928.282652</f>
        <v>6928.2826519999999</v>
      </c>
      <c r="L152" s="24">
        <f>M152/E152/F152</f>
        <v>52211.175805999999</v>
      </c>
      <c r="M152" s="18">
        <f>SUM(G152:K152)</f>
        <v>52211.175805999999</v>
      </c>
    </row>
    <row r="153" spans="1:13">
      <c r="A153" s="12">
        <v>150</v>
      </c>
      <c r="B153" s="13" t="s">
        <v>386</v>
      </c>
      <c r="C153" s="14" t="s">
        <v>387</v>
      </c>
      <c r="D153" s="14" t="s">
        <v>385</v>
      </c>
      <c r="E153" s="15">
        <v>1</v>
      </c>
      <c r="F153" s="16">
        <v>1</v>
      </c>
      <c r="G153" s="17">
        <f>E153 * F153 * 692.778515</f>
        <v>692.77851499999997</v>
      </c>
      <c r="H153" s="17">
        <f>E153 * F153 * 127379.16</f>
        <v>127379.16</v>
      </c>
      <c r="I153" s="17">
        <f t="shared" si="21"/>
        <v>0</v>
      </c>
      <c r="J153" s="17">
        <f>E153 * F153 * 694.164072999999</f>
        <v>694.16407299999901</v>
      </c>
      <c r="K153" s="17">
        <f>E153 * F153 * 19701.213695</f>
        <v>19701.213694999999</v>
      </c>
      <c r="L153" s="24">
        <f t="shared" ref="L153:L159" si="22">M153/E153/F153</f>
        <v>148467.31628299999</v>
      </c>
      <c r="M153" s="18">
        <f>SUM(G153:K153)</f>
        <v>148467.31628299999</v>
      </c>
    </row>
    <row r="154" spans="1:13">
      <c r="A154" s="12">
        <v>151</v>
      </c>
      <c r="B154" s="13" t="s">
        <v>388</v>
      </c>
      <c r="C154" s="14" t="s">
        <v>389</v>
      </c>
      <c r="D154" s="14" t="s">
        <v>390</v>
      </c>
      <c r="E154" s="15">
        <v>1</v>
      </c>
      <c r="F154" s="16">
        <v>1</v>
      </c>
      <c r="G154" s="17">
        <f>E154 * F154 * 3784.068</f>
        <v>3784.0680000000002</v>
      </c>
      <c r="H154" s="17">
        <f>E154 * F154 * 31758.386801</f>
        <v>31758.386801000001</v>
      </c>
      <c r="I154" s="17">
        <f t="shared" si="21"/>
        <v>0</v>
      </c>
      <c r="J154" s="17">
        <f>E154 * F154 * 3791.636136</f>
        <v>3791.6361360000001</v>
      </c>
      <c r="K154" s="17">
        <f>E154 * F154 * 6018.115913</f>
        <v>6018.1159129999996</v>
      </c>
      <c r="L154" s="24">
        <f t="shared" si="22"/>
        <v>45352.206850000002</v>
      </c>
      <c r="M154" s="18">
        <f>SUM(G154:K154)</f>
        <v>45352.206850000002</v>
      </c>
    </row>
    <row r="155" spans="1:13">
      <c r="A155" s="12">
        <v>152</v>
      </c>
      <c r="B155" s="13" t="s">
        <v>391</v>
      </c>
      <c r="C155" s="14" t="s">
        <v>392</v>
      </c>
      <c r="D155" s="14" t="s">
        <v>393</v>
      </c>
      <c r="E155" s="15">
        <v>1</v>
      </c>
      <c r="F155" s="16">
        <v>1</v>
      </c>
      <c r="G155" s="17">
        <f>E155 * F155 * 5676.102</f>
        <v>5676.1019999999999</v>
      </c>
      <c r="H155" s="17">
        <f>E155 * F155 * 34353.137193</f>
        <v>34353.137193000002</v>
      </c>
      <c r="I155" s="17">
        <f t="shared" si="21"/>
        <v>0</v>
      </c>
      <c r="J155" s="17">
        <f>E155 * F155 * 5687.454204</f>
        <v>5687.4542039999997</v>
      </c>
      <c r="K155" s="17">
        <f>E155 * F155 * 6994.65409</f>
        <v>6994.65409</v>
      </c>
      <c r="L155" s="24">
        <f t="shared" si="22"/>
        <v>52711.347487000006</v>
      </c>
      <c r="M155" s="18">
        <f>SUM(G155:K155)</f>
        <v>52711.347487000006</v>
      </c>
    </row>
    <row r="156" spans="1:13">
      <c r="A156" s="12">
        <v>153</v>
      </c>
      <c r="B156" s="13" t="s">
        <v>394</v>
      </c>
      <c r="C156" s="14" t="s">
        <v>395</v>
      </c>
      <c r="D156" s="14" t="s">
        <v>393</v>
      </c>
      <c r="E156" s="15">
        <v>1</v>
      </c>
      <c r="F156" s="16">
        <v>1</v>
      </c>
      <c r="G156" s="17">
        <f>E156 * F156 * 6937.458</f>
        <v>6937.4579999999996</v>
      </c>
      <c r="H156" s="17">
        <f>E156 * F156 * 43692.914167</f>
        <v>43692.914167000003</v>
      </c>
      <c r="I156" s="17">
        <f t="shared" si="21"/>
        <v>0</v>
      </c>
      <c r="J156" s="17">
        <f>E156 * F156 * 6951.33291599999</f>
        <v>6951.3329159999903</v>
      </c>
      <c r="K156" s="17">
        <f>E156 * F156 * 8810.000878</f>
        <v>8810.0008780000007</v>
      </c>
      <c r="L156" s="24">
        <f t="shared" si="22"/>
        <v>66391.705961</v>
      </c>
      <c r="M156" s="18">
        <f>SUM(G156:K156)</f>
        <v>66391.705961</v>
      </c>
    </row>
    <row r="157" spans="1:13">
      <c r="A157" s="12">
        <v>154</v>
      </c>
      <c r="B157" s="13" t="s">
        <v>396</v>
      </c>
      <c r="C157" s="14" t="s">
        <v>397</v>
      </c>
      <c r="D157" s="14" t="s">
        <v>393</v>
      </c>
      <c r="E157" s="15">
        <v>1</v>
      </c>
      <c r="F157" s="16">
        <v>1</v>
      </c>
      <c r="G157" s="17">
        <f>E157 * F157 * 736.590595</f>
        <v>736.59059500000001</v>
      </c>
      <c r="H157" s="17">
        <f>E157 * F157 * 5637.024</f>
        <v>5637.0240000000003</v>
      </c>
      <c r="I157" s="17">
        <f t="shared" si="21"/>
        <v>0</v>
      </c>
      <c r="J157" s="17">
        <f>E157 * F157 * 738.063777</f>
        <v>738.06377699999996</v>
      </c>
      <c r="K157" s="17">
        <f>E157 * F157 * 1088.086791</f>
        <v>1088.0867909999999</v>
      </c>
      <c r="L157" s="24">
        <f t="shared" si="22"/>
        <v>8199.765163</v>
      </c>
      <c r="M157" s="18">
        <f>SUM(G157:K157)</f>
        <v>8199.765163</v>
      </c>
    </row>
    <row r="158" spans="1:13">
      <c r="A158" s="12">
        <v>155</v>
      </c>
      <c r="B158" s="13" t="s">
        <v>398</v>
      </c>
      <c r="C158" s="14" t="s">
        <v>399</v>
      </c>
      <c r="D158" s="14" t="s">
        <v>393</v>
      </c>
      <c r="E158" s="15">
        <v>1</v>
      </c>
      <c r="F158" s="16">
        <v>1</v>
      </c>
      <c r="G158" s="17">
        <f>E158 * F158 * 1347.22146</f>
        <v>1347.22146</v>
      </c>
      <c r="H158" s="17">
        <f>E158 * F158 * 4317.756</f>
        <v>4317.7560000000003</v>
      </c>
      <c r="I158" s="17">
        <f t="shared" si="21"/>
        <v>0</v>
      </c>
      <c r="J158" s="17">
        <f>E158 * F158 * 1349.915903</f>
        <v>1349.9159030000001</v>
      </c>
      <c r="K158" s="17">
        <f>E158 * F158 * 1073.278685</f>
        <v>1073.278685</v>
      </c>
      <c r="L158" s="24">
        <f t="shared" si="22"/>
        <v>8088.1720480000004</v>
      </c>
      <c r="M158" s="18">
        <f>SUM(G158:K158)</f>
        <v>8088.1720480000004</v>
      </c>
    </row>
    <row r="159" spans="1:13">
      <c r="A159" s="12">
        <v>156</v>
      </c>
      <c r="B159" s="13" t="s">
        <v>400</v>
      </c>
      <c r="C159" s="14" t="s">
        <v>401</v>
      </c>
      <c r="D159" s="14" t="s">
        <v>402</v>
      </c>
      <c r="E159" s="15">
        <v>1</v>
      </c>
      <c r="F159" s="16">
        <v>1</v>
      </c>
      <c r="G159" s="17">
        <f>E159 * F159 * 3422.81875</f>
        <v>3422.8187499999999</v>
      </c>
      <c r="H159" s="17">
        <f>E159 * F159 * 10091.023928</f>
        <v>10091.023928000001</v>
      </c>
      <c r="I159" s="17">
        <f t="shared" si="21"/>
        <v>0</v>
      </c>
      <c r="J159" s="17">
        <f>E159 * F159 * 3429.664388</f>
        <v>3429.6643880000001</v>
      </c>
      <c r="K159" s="17">
        <f>E159 * F159 * 2592.356581</f>
        <v>2592.356581</v>
      </c>
      <c r="L159" s="24">
        <f t="shared" si="22"/>
        <v>19535.863647000002</v>
      </c>
      <c r="M159" s="18">
        <f>SUM(G159:K159)</f>
        <v>19535.863647000002</v>
      </c>
    </row>
    <row r="160" spans="1:13" ht="25.5">
      <c r="A160" s="12">
        <v>157</v>
      </c>
      <c r="B160" s="13" t="s">
        <v>403</v>
      </c>
      <c r="C160" s="14" t="s">
        <v>404</v>
      </c>
      <c r="D160" s="14" t="s">
        <v>405</v>
      </c>
      <c r="E160" s="15">
        <v>1</v>
      </c>
      <c r="F160" s="16">
        <v>1</v>
      </c>
      <c r="G160" s="17">
        <f>E160 * F160 * 195256.6</f>
        <v>195256.6</v>
      </c>
      <c r="H160" s="17">
        <f>E160 * F160 * 18221.309117</f>
        <v>18221.309117000001</v>
      </c>
      <c r="I160" s="17">
        <f t="shared" si="21"/>
        <v>0</v>
      </c>
      <c r="J160" s="17">
        <f>E160 * F160 * 195647.1132</f>
        <v>195647.11319999999</v>
      </c>
      <c r="K160" s="17">
        <f>E160 * F160 * 62596.128414</f>
        <v>62596.128413999999</v>
      </c>
      <c r="L160" s="24">
        <f t="shared" ref="L160:L176" si="23">M160/E160/F160/100</f>
        <v>4717.2115073099994</v>
      </c>
      <c r="M160" s="18">
        <f>SUM(G160:K160)</f>
        <v>471721.15073099994</v>
      </c>
    </row>
    <row r="161" spans="1:13" ht="25.5">
      <c r="A161" s="12">
        <v>158</v>
      </c>
      <c r="B161" s="13" t="s">
        <v>406</v>
      </c>
      <c r="C161" s="14" t="s">
        <v>407</v>
      </c>
      <c r="D161" s="14" t="s">
        <v>405</v>
      </c>
      <c r="E161" s="15">
        <v>1</v>
      </c>
      <c r="F161" s="16">
        <v>1</v>
      </c>
      <c r="G161" s="17">
        <f>E161 * F161 * 251044.2</f>
        <v>251044.2</v>
      </c>
      <c r="H161" s="17">
        <f>E161 * F161 * 20540.584277</f>
        <v>20540.584277000002</v>
      </c>
      <c r="I161" s="17">
        <f t="shared" si="21"/>
        <v>0</v>
      </c>
      <c r="J161" s="17">
        <f>E161 * F161 * 251546.2884</f>
        <v>251546.28839999999</v>
      </c>
      <c r="K161" s="17">
        <f>E161 * F161 * 80039.054119</f>
        <v>80039.054118999993</v>
      </c>
      <c r="L161" s="24">
        <f t="shared" si="23"/>
        <v>6031.7012679599993</v>
      </c>
      <c r="M161" s="18">
        <f>SUM(G161:K161)</f>
        <v>603170.12679599994</v>
      </c>
    </row>
    <row r="162" spans="1:13" ht="25.5">
      <c r="A162" s="12">
        <v>159</v>
      </c>
      <c r="B162" s="13" t="s">
        <v>408</v>
      </c>
      <c r="C162" s="14" t="s">
        <v>409</v>
      </c>
      <c r="D162" s="14" t="s">
        <v>405</v>
      </c>
      <c r="E162" s="15">
        <v>1</v>
      </c>
      <c r="F162" s="16">
        <v>1</v>
      </c>
      <c r="G162" s="17">
        <f>E162 * F162 * 281727.38</f>
        <v>281727.38</v>
      </c>
      <c r="H162" s="17">
        <f>E162 * F162 * 21017.958677</f>
        <v>21017.958676999999</v>
      </c>
      <c r="I162" s="17">
        <f t="shared" si="21"/>
        <v>0</v>
      </c>
      <c r="J162" s="17">
        <f>E162 * F162 * 282290.83476</f>
        <v>282290.83476</v>
      </c>
      <c r="K162" s="17">
        <f>E162 * F162 * 89510.534535</f>
        <v>89510.534534999999</v>
      </c>
      <c r="L162" s="24">
        <f t="shared" si="23"/>
        <v>6745.4670797199997</v>
      </c>
      <c r="M162" s="18">
        <f>SUM(G162:K162)</f>
        <v>674546.707972</v>
      </c>
    </row>
    <row r="163" spans="1:13">
      <c r="A163" s="12">
        <v>160</v>
      </c>
      <c r="B163" s="13" t="s">
        <v>410</v>
      </c>
      <c r="C163" s="14" t="s">
        <v>411</v>
      </c>
      <c r="D163" s="14" t="s">
        <v>248</v>
      </c>
      <c r="E163" s="15">
        <v>1</v>
      </c>
      <c r="F163" s="16">
        <v>1</v>
      </c>
      <c r="G163" s="17">
        <f>E163 * F163 * 34941.55</f>
        <v>34941.550000000003</v>
      </c>
      <c r="H163" s="17">
        <f>E163 * F163 * 742113.474408</f>
        <v>742113.47440800001</v>
      </c>
      <c r="I163" s="17">
        <f t="shared" si="21"/>
        <v>0</v>
      </c>
      <c r="J163" s="17">
        <f>E163 * F163 * 35011.4330999999</f>
        <v>35011.4330999999</v>
      </c>
      <c r="K163" s="17">
        <f>E163 * F163 * 124246.167999</f>
        <v>124246.167999</v>
      </c>
      <c r="L163" s="24">
        <f t="shared" si="23"/>
        <v>9363.1262550699994</v>
      </c>
      <c r="M163" s="18">
        <f>SUM(G163:K163)</f>
        <v>936312.6255069999</v>
      </c>
    </row>
    <row r="164" spans="1:13">
      <c r="A164" s="12">
        <v>161</v>
      </c>
      <c r="B164" s="13" t="s">
        <v>412</v>
      </c>
      <c r="C164" s="14" t="s">
        <v>413</v>
      </c>
      <c r="D164" s="14" t="s">
        <v>248</v>
      </c>
      <c r="E164" s="15">
        <v>1</v>
      </c>
      <c r="F164" s="16">
        <v>1</v>
      </c>
      <c r="G164" s="17">
        <f>E164 * F164 * 40557.15625</f>
        <v>40557.15625</v>
      </c>
      <c r="H164" s="17">
        <f>E164 * F164 * 1784565.053064</f>
        <v>1784565.0530640001</v>
      </c>
      <c r="I164" s="17">
        <f t="shared" si="21"/>
        <v>0</v>
      </c>
      <c r="J164" s="17">
        <f>E164 * F164 * 40638.270563</f>
        <v>40638.270562999998</v>
      </c>
      <c r="K164" s="17">
        <f>E164 * F164 * 285461.353421</f>
        <v>285461.35342100001</v>
      </c>
      <c r="L164" s="24">
        <f t="shared" si="23"/>
        <v>21512.218332979999</v>
      </c>
      <c r="M164" s="18">
        <f>SUM(G164:K164)</f>
        <v>2151221.833298</v>
      </c>
    </row>
    <row r="165" spans="1:13">
      <c r="A165" s="12">
        <v>162</v>
      </c>
      <c r="B165" s="13" t="s">
        <v>414</v>
      </c>
      <c r="C165" s="14" t="s">
        <v>415</v>
      </c>
      <c r="D165" s="14" t="s">
        <v>248</v>
      </c>
      <c r="E165" s="15">
        <v>1</v>
      </c>
      <c r="F165" s="16">
        <v>1</v>
      </c>
      <c r="G165" s="17">
        <f>E165 * F165 * 46172.7625</f>
        <v>46172.762499999997</v>
      </c>
      <c r="H165" s="17">
        <f>E165 * F165 * 3053939.763864</f>
        <v>3053939.7638639999</v>
      </c>
      <c r="I165" s="17">
        <f t="shared" si="21"/>
        <v>0</v>
      </c>
      <c r="J165" s="17">
        <f>E165 * F165 * 46265.108025</f>
        <v>46265.108025000001</v>
      </c>
      <c r="K165" s="17">
        <f>E165 * F165 * 481395.778062</f>
        <v>481395.778062</v>
      </c>
      <c r="L165" s="24">
        <f t="shared" si="23"/>
        <v>36277.734124509996</v>
      </c>
      <c r="M165" s="18">
        <f>SUM(G165:K165)</f>
        <v>3627773.412451</v>
      </c>
    </row>
    <row r="166" spans="1:13" ht="25.5">
      <c r="A166" s="12">
        <v>163</v>
      </c>
      <c r="B166" s="13" t="s">
        <v>416</v>
      </c>
      <c r="C166" s="14" t="s">
        <v>417</v>
      </c>
      <c r="D166" s="14" t="s">
        <v>248</v>
      </c>
      <c r="E166" s="15">
        <v>1</v>
      </c>
      <c r="F166" s="16">
        <v>1</v>
      </c>
      <c r="G166" s="17">
        <f>E166 * F166 * 51164.4125</f>
        <v>51164.412499999999</v>
      </c>
      <c r="H166" s="17">
        <f>E166 * F166 * 13778.886408</f>
        <v>13778.886408</v>
      </c>
      <c r="I166" s="17">
        <f t="shared" si="21"/>
        <v>0</v>
      </c>
      <c r="J166" s="17">
        <f>E166 * F166 * 51266.741325</f>
        <v>51266.741325000003</v>
      </c>
      <c r="K166" s="17">
        <f>E166 * F166 * 17780.136156</f>
        <v>17780.136156</v>
      </c>
      <c r="L166" s="24">
        <f t="shared" si="23"/>
        <v>1339.90176389</v>
      </c>
      <c r="M166" s="18">
        <f>SUM(G166:K166)</f>
        <v>133990.176389</v>
      </c>
    </row>
    <row r="167" spans="1:13" ht="25.5">
      <c r="A167" s="12">
        <v>164</v>
      </c>
      <c r="B167" s="13" t="s">
        <v>418</v>
      </c>
      <c r="C167" s="14" t="s">
        <v>419</v>
      </c>
      <c r="D167" s="14" t="s">
        <v>248</v>
      </c>
      <c r="E167" s="15">
        <v>1</v>
      </c>
      <c r="F167" s="16">
        <v>1</v>
      </c>
      <c r="G167" s="17">
        <f>E167 * F167 * 67387.275</f>
        <v>67387.274999999994</v>
      </c>
      <c r="H167" s="17">
        <f>E167 * F167 * 59162.286024</f>
        <v>59162.286024000001</v>
      </c>
      <c r="I167" s="17">
        <f t="shared" si="21"/>
        <v>0</v>
      </c>
      <c r="J167" s="17">
        <f>E167 * F167 * 67522.04955</f>
        <v>67522.049549999996</v>
      </c>
      <c r="K167" s="17">
        <f>E167 * F167 * 29692.956418</f>
        <v>29692.956418000002</v>
      </c>
      <c r="L167" s="24">
        <f t="shared" si="23"/>
        <v>2237.6456699199998</v>
      </c>
      <c r="M167" s="18">
        <f>SUM(G167:K167)</f>
        <v>223764.56699199998</v>
      </c>
    </row>
    <row r="168" spans="1:13" ht="25.5">
      <c r="A168" s="12">
        <v>165</v>
      </c>
      <c r="B168" s="13" t="s">
        <v>420</v>
      </c>
      <c r="C168" s="14" t="s">
        <v>421</v>
      </c>
      <c r="D168" s="14" t="s">
        <v>422</v>
      </c>
      <c r="E168" s="15">
        <v>1</v>
      </c>
      <c r="F168" s="16">
        <v>1</v>
      </c>
      <c r="G168" s="17">
        <f>E168 * F168 * 9234.5525</f>
        <v>9234.5524999999998</v>
      </c>
      <c r="H168" s="17">
        <f>E168 * F168 * 29551.784928</f>
        <v>29551.784928000001</v>
      </c>
      <c r="I168" s="17">
        <f t="shared" si="21"/>
        <v>0</v>
      </c>
      <c r="J168" s="17">
        <f>E168 * F168 * 9253.021605</f>
        <v>9253.0216049999999</v>
      </c>
      <c r="K168" s="17">
        <f>E168 * F168 * 7350.021932</f>
        <v>7350.0219319999997</v>
      </c>
      <c r="L168" s="24">
        <f t="shared" si="23"/>
        <v>553.89380965000009</v>
      </c>
      <c r="M168" s="18">
        <f>SUM(G168:K168)</f>
        <v>55389.380965000004</v>
      </c>
    </row>
    <row r="169" spans="1:13" ht="25.5">
      <c r="A169" s="12">
        <v>166</v>
      </c>
      <c r="B169" s="13" t="s">
        <v>423</v>
      </c>
      <c r="C169" s="14" t="s">
        <v>424</v>
      </c>
      <c r="D169" s="14" t="s">
        <v>422</v>
      </c>
      <c r="E169" s="15">
        <v>1</v>
      </c>
      <c r="F169" s="16">
        <v>1</v>
      </c>
      <c r="G169" s="17">
        <f>E169 * F169 * 9608.92625</f>
        <v>9608.9262500000004</v>
      </c>
      <c r="H169" s="17">
        <f>E169 * F169 * 35094.915456</f>
        <v>35094.915456000002</v>
      </c>
      <c r="I169" s="17">
        <f t="shared" si="21"/>
        <v>0</v>
      </c>
      <c r="J169" s="17">
        <f>E169 * F169 * 9628.144103</f>
        <v>9628.1441030000005</v>
      </c>
      <c r="K169" s="17">
        <f>E169 * F169 * 8312.793829</f>
        <v>8312.7938290000002</v>
      </c>
      <c r="L169" s="24">
        <f t="shared" si="23"/>
        <v>626.44779638000011</v>
      </c>
      <c r="M169" s="18">
        <f>SUM(G169:K169)</f>
        <v>62644.779638000007</v>
      </c>
    </row>
    <row r="170" spans="1:13" ht="25.5">
      <c r="A170" s="12">
        <v>167</v>
      </c>
      <c r="B170" s="13" t="s">
        <v>425</v>
      </c>
      <c r="C170" s="14" t="s">
        <v>426</v>
      </c>
      <c r="D170" s="14" t="s">
        <v>422</v>
      </c>
      <c r="E170" s="15">
        <v>1</v>
      </c>
      <c r="F170" s="16">
        <v>1</v>
      </c>
      <c r="G170" s="17">
        <f>E170 * F170 * 10357.67375</f>
        <v>10357.67375</v>
      </c>
      <c r="H170" s="17">
        <f>E170 * F170 * 129008.445984</f>
        <v>129008.44598400001</v>
      </c>
      <c r="I170" s="17">
        <f t="shared" si="21"/>
        <v>0</v>
      </c>
      <c r="J170" s="17">
        <f>E170 * F170 * 10378.389097</f>
        <v>10378.389096999999</v>
      </c>
      <c r="K170" s="17">
        <f>E170 * F170 * 22910.9098509999</f>
        <v>22910.909850999898</v>
      </c>
      <c r="L170" s="24">
        <f t="shared" si="23"/>
        <v>1726.5541868199989</v>
      </c>
      <c r="M170" s="18">
        <f>SUM(G170:K170)</f>
        <v>172655.4186819999</v>
      </c>
    </row>
    <row r="171" spans="1:13">
      <c r="A171" s="12">
        <v>168</v>
      </c>
      <c r="B171" s="13" t="s">
        <v>427</v>
      </c>
      <c r="C171" s="14" t="s">
        <v>428</v>
      </c>
      <c r="D171" s="14" t="s">
        <v>429</v>
      </c>
      <c r="E171" s="15">
        <v>1</v>
      </c>
      <c r="F171" s="16">
        <v>1</v>
      </c>
      <c r="G171" s="17">
        <f>E171 * F171 * 1440.4</f>
        <v>1440.4</v>
      </c>
      <c r="H171" s="17">
        <f>E171 * F171 * 49305.219703</f>
        <v>49305.219703000002</v>
      </c>
      <c r="I171" s="17">
        <f t="shared" si="21"/>
        <v>0</v>
      </c>
      <c r="J171" s="17">
        <f>E171 * F171 * 1443.2808</f>
        <v>1443.2808</v>
      </c>
      <c r="K171" s="17">
        <f>E171 * F171 * 7984.901777</f>
        <v>7984.901777</v>
      </c>
      <c r="L171" s="24">
        <f t="shared" si="23"/>
        <v>601.73802280000007</v>
      </c>
      <c r="M171" s="18">
        <f>SUM(G171:K171)</f>
        <v>60173.802280000004</v>
      </c>
    </row>
    <row r="172" spans="1:13">
      <c r="A172" s="12">
        <v>169</v>
      </c>
      <c r="B172" s="13" t="s">
        <v>430</v>
      </c>
      <c r="C172" s="14" t="s">
        <v>431</v>
      </c>
      <c r="D172" s="14" t="s">
        <v>429</v>
      </c>
      <c r="E172" s="15">
        <v>1</v>
      </c>
      <c r="F172" s="16">
        <v>1</v>
      </c>
      <c r="G172" s="17">
        <f>E172 * F172 * 1440.4</f>
        <v>1440.4</v>
      </c>
      <c r="H172" s="17">
        <f>E172 * F172 * 66851.675772</f>
        <v>66851.675772000002</v>
      </c>
      <c r="I172" s="17">
        <f t="shared" si="21"/>
        <v>0</v>
      </c>
      <c r="J172" s="17">
        <f>E172 * F172 * 1443.2808</f>
        <v>1443.2808</v>
      </c>
      <c r="K172" s="17">
        <f>E172 * F172 * 10669.509556</f>
        <v>10669.509556000001</v>
      </c>
      <c r="L172" s="24">
        <f t="shared" si="23"/>
        <v>804.04866127999992</v>
      </c>
      <c r="M172" s="18">
        <f>SUM(G172:K172)</f>
        <v>80404.866127999994</v>
      </c>
    </row>
    <row r="173" spans="1:13">
      <c r="A173" s="12">
        <v>170</v>
      </c>
      <c r="B173" s="13" t="s">
        <v>432</v>
      </c>
      <c r="C173" s="14" t="s">
        <v>433</v>
      </c>
      <c r="D173" s="14" t="s">
        <v>429</v>
      </c>
      <c r="E173" s="15">
        <v>1</v>
      </c>
      <c r="F173" s="16">
        <v>1</v>
      </c>
      <c r="G173" s="17">
        <f>E173 * F173 * 1440.4</f>
        <v>1440.4</v>
      </c>
      <c r="H173" s="17">
        <f>E173 * F173 * 130610.513658</f>
        <v>130610.513658</v>
      </c>
      <c r="I173" s="17">
        <f t="shared" si="21"/>
        <v>0</v>
      </c>
      <c r="J173" s="17">
        <f>E173 * F173 * 1443.2808</f>
        <v>1443.2808</v>
      </c>
      <c r="K173" s="17">
        <f>E173 * F173 * 20424.611752</f>
        <v>20424.611752000001</v>
      </c>
      <c r="L173" s="24">
        <f t="shared" si="23"/>
        <v>1539.1880621</v>
      </c>
      <c r="M173" s="18">
        <f>SUM(G173:K173)</f>
        <v>153918.80621000001</v>
      </c>
    </row>
    <row r="174" spans="1:13" ht="25.5">
      <c r="A174" s="12">
        <v>171</v>
      </c>
      <c r="B174" s="13" t="s">
        <v>434</v>
      </c>
      <c r="C174" s="14" t="s">
        <v>435</v>
      </c>
      <c r="D174" s="14" t="s">
        <v>422</v>
      </c>
      <c r="E174" s="15">
        <v>1</v>
      </c>
      <c r="F174" s="16">
        <v>1</v>
      </c>
      <c r="G174" s="17">
        <f>E174 * F174 * 14863.035</f>
        <v>14863.035</v>
      </c>
      <c r="H174" s="17">
        <f>E174 * F174 * 47187.03462</f>
        <v>47187.034619999999</v>
      </c>
      <c r="I174" s="17">
        <f t="shared" si="21"/>
        <v>0</v>
      </c>
      <c r="J174" s="17">
        <f>E174 * F174 * 14892.76107</f>
        <v>14892.76107</v>
      </c>
      <c r="K174" s="17">
        <f>E174 * F174 * 11772.253096</f>
        <v>11772.253096</v>
      </c>
      <c r="L174" s="24">
        <f t="shared" si="23"/>
        <v>887.15083786000002</v>
      </c>
      <c r="M174" s="18">
        <f>SUM(G174:K174)</f>
        <v>88715.083786000003</v>
      </c>
    </row>
    <row r="175" spans="1:13" ht="25.5">
      <c r="A175" s="12">
        <v>172</v>
      </c>
      <c r="B175" s="13" t="s">
        <v>436</v>
      </c>
      <c r="C175" s="14" t="s">
        <v>437</v>
      </c>
      <c r="D175" s="14" t="s">
        <v>422</v>
      </c>
      <c r="E175" s="15">
        <v>1</v>
      </c>
      <c r="F175" s="16">
        <v>1</v>
      </c>
      <c r="G175" s="17">
        <f>E175 * F175 * 17295.168</f>
        <v>17295.168000000001</v>
      </c>
      <c r="H175" s="17">
        <f>E175 * F175 * 62796.63462</f>
        <v>62796.634619999997</v>
      </c>
      <c r="I175" s="17">
        <f t="shared" si="21"/>
        <v>0</v>
      </c>
      <c r="J175" s="17">
        <f>E175 * F175 * 17329.758336</f>
        <v>17329.758335999999</v>
      </c>
      <c r="K175" s="17">
        <f>E175 * F175 * 14905.498827</f>
        <v>14905.498826999999</v>
      </c>
      <c r="L175" s="24">
        <f t="shared" si="23"/>
        <v>1123.27059783</v>
      </c>
      <c r="M175" s="18">
        <f>SUM(G175:K175)</f>
        <v>112327.059783</v>
      </c>
    </row>
    <row r="176" spans="1:13" ht="25.5">
      <c r="A176" s="12">
        <v>173</v>
      </c>
      <c r="B176" s="13" t="s">
        <v>438</v>
      </c>
      <c r="C176" s="14" t="s">
        <v>439</v>
      </c>
      <c r="D176" s="14" t="s">
        <v>440</v>
      </c>
      <c r="E176" s="15">
        <v>1</v>
      </c>
      <c r="F176" s="16">
        <v>1</v>
      </c>
      <c r="G176" s="17">
        <f>E176 * F176 * 142.38926</f>
        <v>142.38926000000001</v>
      </c>
      <c r="H176" s="17">
        <f>E176 * F176 * 8759.508</f>
        <v>8759.5079999999998</v>
      </c>
      <c r="I176" s="17">
        <f t="shared" si="21"/>
        <v>0</v>
      </c>
      <c r="J176" s="17">
        <f>E176 * F176 * 142.674039</f>
        <v>142.67403899999999</v>
      </c>
      <c r="K176" s="17">
        <f>E176 * F176 * 1383.819409</f>
        <v>1383.819409</v>
      </c>
      <c r="L176" s="24">
        <f>M176/E176/F176</f>
        <v>10428.390707999999</v>
      </c>
      <c r="M176" s="18">
        <f>SUM(G176:K176)</f>
        <v>10428.390707999999</v>
      </c>
    </row>
    <row r="177" spans="1:13" ht="25.5">
      <c r="A177" s="12">
        <v>174</v>
      </c>
      <c r="B177" s="13" t="s">
        <v>441</v>
      </c>
      <c r="C177" s="14" t="s">
        <v>442</v>
      </c>
      <c r="D177" s="14" t="s">
        <v>440</v>
      </c>
      <c r="E177" s="15">
        <v>1</v>
      </c>
      <c r="F177" s="16">
        <v>1</v>
      </c>
      <c r="G177" s="17">
        <f>E177 * F177 * 142.38926</f>
        <v>142.38926000000001</v>
      </c>
      <c r="H177" s="17">
        <f>E177 * F177 * 12748.176</f>
        <v>12748.175999999999</v>
      </c>
      <c r="I177" s="17">
        <f t="shared" si="21"/>
        <v>0</v>
      </c>
      <c r="J177" s="17">
        <f>E177 * F177 * 142.674039</f>
        <v>142.67403899999999</v>
      </c>
      <c r="K177" s="17">
        <f>E177 * F177 * 1994.085613</f>
        <v>1994.085613</v>
      </c>
      <c r="L177" s="24">
        <f t="shared" ref="L177:L181" si="24">M177/E177/F177</f>
        <v>15027.324911999998</v>
      </c>
      <c r="M177" s="18">
        <f>SUM(G177:K177)</f>
        <v>15027.324911999998</v>
      </c>
    </row>
    <row r="178" spans="1:13" ht="25.5">
      <c r="A178" s="12">
        <v>175</v>
      </c>
      <c r="B178" s="13" t="s">
        <v>443</v>
      </c>
      <c r="C178" s="14" t="s">
        <v>444</v>
      </c>
      <c r="D178" s="14" t="s">
        <v>440</v>
      </c>
      <c r="E178" s="15">
        <v>1</v>
      </c>
      <c r="F178" s="16">
        <v>1</v>
      </c>
      <c r="G178" s="17">
        <f>E178 * F178 * 142.38926</f>
        <v>142.38926000000001</v>
      </c>
      <c r="H178" s="17">
        <f>E178 * F178 * 15489.348</f>
        <v>15489.348</v>
      </c>
      <c r="I178" s="17">
        <f t="shared" si="21"/>
        <v>0</v>
      </c>
      <c r="J178" s="17">
        <f>E178 * F178 * 142.674039</f>
        <v>142.67403899999999</v>
      </c>
      <c r="K178" s="17">
        <f>E178 * F178 * 2413.484929</f>
        <v>2413.4849290000002</v>
      </c>
      <c r="L178" s="24">
        <f t="shared" si="24"/>
        <v>18187.896227999998</v>
      </c>
      <c r="M178" s="18">
        <f>SUM(G178:K178)</f>
        <v>18187.896227999998</v>
      </c>
    </row>
    <row r="179" spans="1:13" ht="25.5">
      <c r="A179" s="12">
        <v>176</v>
      </c>
      <c r="B179" s="13" t="s">
        <v>445</v>
      </c>
      <c r="C179" s="14" t="s">
        <v>446</v>
      </c>
      <c r="D179" s="14" t="s">
        <v>440</v>
      </c>
      <c r="E179" s="15">
        <v>1</v>
      </c>
      <c r="F179" s="16">
        <v>1</v>
      </c>
      <c r="G179" s="17">
        <f>E179 * F179 * 142.38926</f>
        <v>142.38926000000001</v>
      </c>
      <c r="H179" s="17">
        <f>E179 * F179 * 21141.168</f>
        <v>21141.168000000001</v>
      </c>
      <c r="I179" s="17">
        <f t="shared" si="21"/>
        <v>0</v>
      </c>
      <c r="J179" s="17">
        <f>E179 * F179 * 142.674039</f>
        <v>142.67403899999999</v>
      </c>
      <c r="K179" s="17">
        <f>E179 * F179 * 3278.213389</f>
        <v>3278.213389</v>
      </c>
      <c r="L179" s="24">
        <f t="shared" si="24"/>
        <v>24704.444688000003</v>
      </c>
      <c r="M179" s="18">
        <f>SUM(G179:K179)</f>
        <v>24704.444688000003</v>
      </c>
    </row>
    <row r="180" spans="1:13" ht="25.5">
      <c r="A180" s="12">
        <v>177</v>
      </c>
      <c r="B180" s="13" t="s">
        <v>447</v>
      </c>
      <c r="C180" s="14" t="s">
        <v>448</v>
      </c>
      <c r="D180" s="14" t="s">
        <v>440</v>
      </c>
      <c r="E180" s="15">
        <v>1</v>
      </c>
      <c r="F180" s="16">
        <v>1</v>
      </c>
      <c r="G180" s="17">
        <f>E180 * F180 * 3182.668265</f>
        <v>3182.6682649999998</v>
      </c>
      <c r="H180" s="17">
        <f>E180 * F180 * 127379.16</f>
        <v>127379.16</v>
      </c>
      <c r="I180" s="17">
        <f t="shared" si="21"/>
        <v>0</v>
      </c>
      <c r="J180" s="17">
        <f>E180 * F180 * 3189.03360199999</f>
        <v>3189.03360199999</v>
      </c>
      <c r="K180" s="17">
        <f>E180 * F180 * 20463.881866</f>
        <v>20463.881866</v>
      </c>
      <c r="L180" s="24">
        <f t="shared" si="24"/>
        <v>154214.74373300001</v>
      </c>
      <c r="M180" s="18">
        <f>SUM(G180:K180)</f>
        <v>154214.74373300001</v>
      </c>
    </row>
    <row r="181" spans="1:13" ht="25.5">
      <c r="A181" s="12">
        <v>178</v>
      </c>
      <c r="B181" s="13" t="s">
        <v>449</v>
      </c>
      <c r="C181" s="14" t="s">
        <v>450</v>
      </c>
      <c r="D181" s="14" t="s">
        <v>440</v>
      </c>
      <c r="E181" s="15">
        <v>1</v>
      </c>
      <c r="F181" s="16">
        <v>1</v>
      </c>
      <c r="G181" s="17">
        <f>E181 * F181 * 4357.218105</f>
        <v>4357.2181049999999</v>
      </c>
      <c r="H181" s="17">
        <f>E181 * F181 * 165779.16</f>
        <v>165779.16</v>
      </c>
      <c r="I181" s="17">
        <f t="shared" ref="I181:I212" si="25">E181 * F181 * 0</f>
        <v>0</v>
      </c>
      <c r="J181" s="17">
        <f>E181 * F181 * 4365.932542</f>
        <v>4365.9325419999996</v>
      </c>
      <c r="K181" s="17">
        <f>E181 * F181 * 26698.853529</f>
        <v>26698.853529</v>
      </c>
      <c r="L181" s="24">
        <f t="shared" si="24"/>
        <v>201201.16417599999</v>
      </c>
      <c r="M181" s="18">
        <f>SUM(G181:K181)</f>
        <v>201201.16417599999</v>
      </c>
    </row>
    <row r="182" spans="1:13" ht="38.25">
      <c r="A182" s="12">
        <v>179</v>
      </c>
      <c r="B182" s="13" t="s">
        <v>451</v>
      </c>
      <c r="C182" s="14" t="s">
        <v>452</v>
      </c>
      <c r="D182" s="14" t="s">
        <v>453</v>
      </c>
      <c r="E182" s="15">
        <v>1</v>
      </c>
      <c r="F182" s="16">
        <v>1</v>
      </c>
      <c r="G182" s="17">
        <f>E182 * F182 * 9708.75925</f>
        <v>9708.7592499999992</v>
      </c>
      <c r="H182" s="17">
        <f>E182 * F182 * 14497.54727</f>
        <v>14497.547269999999</v>
      </c>
      <c r="I182" s="17">
        <f t="shared" si="25"/>
        <v>0</v>
      </c>
      <c r="J182" s="17">
        <f>E182 * F182 * 9728.176768</f>
        <v>9728.1767679999994</v>
      </c>
      <c r="K182" s="17">
        <f>E182 * F182 * 5191.975944</f>
        <v>5191.9759439999998</v>
      </c>
      <c r="L182" s="24">
        <f t="shared" ref="L182:L205" si="26">M182/E182/F182/100</f>
        <v>391.26459231999996</v>
      </c>
      <c r="M182" s="18">
        <f>SUM(G182:K182)</f>
        <v>39126.459231999994</v>
      </c>
    </row>
    <row r="183" spans="1:13" ht="38.25">
      <c r="A183" s="12">
        <v>180</v>
      </c>
      <c r="B183" s="13" t="s">
        <v>454</v>
      </c>
      <c r="C183" s="14" t="s">
        <v>455</v>
      </c>
      <c r="D183" s="14" t="s">
        <v>453</v>
      </c>
      <c r="E183" s="15">
        <v>1</v>
      </c>
      <c r="F183" s="16">
        <v>1</v>
      </c>
      <c r="G183" s="17">
        <f>E183 * F183 * 10719.568375</f>
        <v>10719.568375000001</v>
      </c>
      <c r="H183" s="17">
        <f>E183 * F183 * 17511.16247</f>
        <v>17511.162469999999</v>
      </c>
      <c r="I183" s="17">
        <f t="shared" si="25"/>
        <v>0</v>
      </c>
      <c r="J183" s="17">
        <f>E183 * F183 * 10741.007512</f>
        <v>10741.007512</v>
      </c>
      <c r="K183" s="17">
        <f>E183 * F183 * 5962.675969</f>
        <v>5962.6759689999999</v>
      </c>
      <c r="L183" s="24">
        <f t="shared" si="26"/>
        <v>449.34414326000001</v>
      </c>
      <c r="M183" s="18">
        <f>SUM(G183:K183)</f>
        <v>44934.414325999998</v>
      </c>
    </row>
    <row r="184" spans="1:13" ht="38.25">
      <c r="A184" s="12">
        <v>181</v>
      </c>
      <c r="B184" s="13" t="s">
        <v>456</v>
      </c>
      <c r="C184" s="14" t="s">
        <v>457</v>
      </c>
      <c r="D184" s="14" t="s">
        <v>453</v>
      </c>
      <c r="E184" s="15">
        <v>1</v>
      </c>
      <c r="F184" s="16">
        <v>1</v>
      </c>
      <c r="G184" s="17">
        <f>E184 * F184 * 11833.954238</f>
        <v>11833.954238</v>
      </c>
      <c r="H184" s="17">
        <f>E184 * F184 * 24035.81807</f>
        <v>24035.818070000001</v>
      </c>
      <c r="I184" s="17">
        <f t="shared" si="25"/>
        <v>0</v>
      </c>
      <c r="J184" s="17">
        <f>E184 * F184 * 11857.622147</f>
        <v>11857.622147</v>
      </c>
      <c r="K184" s="17">
        <f>E184 * F184 * 7302.291352</f>
        <v>7302.2913520000002</v>
      </c>
      <c r="L184" s="24">
        <f t="shared" si="26"/>
        <v>550.29685806999998</v>
      </c>
      <c r="M184" s="18">
        <f>SUM(G184:K184)</f>
        <v>55029.685807000002</v>
      </c>
    </row>
    <row r="185" spans="1:13" ht="38.25">
      <c r="A185" s="12">
        <v>182</v>
      </c>
      <c r="B185" s="13" t="s">
        <v>458</v>
      </c>
      <c r="C185" s="14" t="s">
        <v>459</v>
      </c>
      <c r="D185" s="14" t="s">
        <v>453</v>
      </c>
      <c r="E185" s="15">
        <v>1</v>
      </c>
      <c r="F185" s="16">
        <v>1</v>
      </c>
      <c r="G185" s="17">
        <f>E185 * F185 * 14413.389375</f>
        <v>14413.389375000001</v>
      </c>
      <c r="H185" s="17">
        <f>E185 * F185 * 36553.834155</f>
        <v>36553.834154999997</v>
      </c>
      <c r="I185" s="17">
        <f t="shared" si="25"/>
        <v>0</v>
      </c>
      <c r="J185" s="17">
        <f>E185 * F185 * 14442.216154</f>
        <v>14442.216154</v>
      </c>
      <c r="K185" s="17">
        <f>E185 * F185 * 10007.644272</f>
        <v>10007.644272</v>
      </c>
      <c r="L185" s="24">
        <f t="shared" si="26"/>
        <v>754.17083955999999</v>
      </c>
      <c r="M185" s="18">
        <f>SUM(G185:K185)</f>
        <v>75417.083956000002</v>
      </c>
    </row>
    <row r="186" spans="1:13" ht="38.25">
      <c r="A186" s="12">
        <v>183</v>
      </c>
      <c r="B186" s="13" t="s">
        <v>460</v>
      </c>
      <c r="C186" s="14" t="s">
        <v>461</v>
      </c>
      <c r="D186" s="14" t="s">
        <v>453</v>
      </c>
      <c r="E186" s="15">
        <v>1</v>
      </c>
      <c r="F186" s="16">
        <v>1</v>
      </c>
      <c r="G186" s="17">
        <f>E186 * F186 * 15149.65775</f>
        <v>15149.65775</v>
      </c>
      <c r="H186" s="17">
        <f>E186 * F186 * 41715.124202</f>
        <v>41715.124201999999</v>
      </c>
      <c r="I186" s="17">
        <f t="shared" si="25"/>
        <v>0</v>
      </c>
      <c r="J186" s="17">
        <f>E186 * F186 * 15179.957066</f>
        <v>15179.957066000001</v>
      </c>
      <c r="K186" s="17">
        <f>E186 * F186 * 11022.84507</f>
        <v>11022.845069999999</v>
      </c>
      <c r="L186" s="24">
        <f t="shared" si="26"/>
        <v>830.6758408799999</v>
      </c>
      <c r="M186" s="18">
        <f>SUM(G186:K186)</f>
        <v>83067.584087999989</v>
      </c>
    </row>
    <row r="187" spans="1:13" ht="38.25">
      <c r="A187" s="12">
        <v>184</v>
      </c>
      <c r="B187" s="13" t="s">
        <v>462</v>
      </c>
      <c r="C187" s="14" t="s">
        <v>463</v>
      </c>
      <c r="D187" s="14" t="s">
        <v>453</v>
      </c>
      <c r="E187" s="15">
        <v>1</v>
      </c>
      <c r="F187" s="16">
        <v>1</v>
      </c>
      <c r="G187" s="17">
        <f>E187 * F187 * 16834.339625</f>
        <v>16834.339625000001</v>
      </c>
      <c r="H187" s="17">
        <f>E187 * F187 * 54488.297188</f>
        <v>54488.297187999997</v>
      </c>
      <c r="I187" s="17">
        <f t="shared" si="25"/>
        <v>0</v>
      </c>
      <c r="J187" s="17">
        <f>E187 * F187 * 16868.008305</f>
        <v>16868.008304999999</v>
      </c>
      <c r="K187" s="17">
        <f>E187 * F187 * 13493.168703</f>
        <v>13493.168702999999</v>
      </c>
      <c r="L187" s="24">
        <f t="shared" si="26"/>
        <v>1016.8381382099999</v>
      </c>
      <c r="M187" s="18">
        <f>SUM(G187:K187)</f>
        <v>101683.81382099999</v>
      </c>
    </row>
    <row r="188" spans="1:13" ht="38.25">
      <c r="A188" s="12">
        <v>185</v>
      </c>
      <c r="B188" s="13" t="s">
        <v>464</v>
      </c>
      <c r="C188" s="14" t="s">
        <v>465</v>
      </c>
      <c r="D188" s="14" t="s">
        <v>453</v>
      </c>
      <c r="E188" s="15">
        <v>1</v>
      </c>
      <c r="F188" s="16">
        <v>1</v>
      </c>
      <c r="G188" s="17">
        <f>E188 * F188 * 19779.413125</f>
        <v>19779.413124999999</v>
      </c>
      <c r="H188" s="17">
        <f>E188 * F188 * 76784.548438</f>
        <v>76784.548437999998</v>
      </c>
      <c r="I188" s="17">
        <f t="shared" si="25"/>
        <v>0</v>
      </c>
      <c r="J188" s="17">
        <f>E188 * F188 * 19818.971952</f>
        <v>19818.971952</v>
      </c>
      <c r="K188" s="17">
        <f>E188 * F188 * 17806.588828</f>
        <v>17806.588828</v>
      </c>
      <c r="L188" s="24">
        <f t="shared" si="26"/>
        <v>1341.89522343</v>
      </c>
      <c r="M188" s="18">
        <f>SUM(G188:K188)</f>
        <v>134189.52234299999</v>
      </c>
    </row>
    <row r="189" spans="1:13" ht="38.25">
      <c r="A189" s="12">
        <v>186</v>
      </c>
      <c r="B189" s="13" t="s">
        <v>466</v>
      </c>
      <c r="C189" s="14" t="s">
        <v>467</v>
      </c>
      <c r="D189" s="14" t="s">
        <v>453</v>
      </c>
      <c r="E189" s="15">
        <v>1</v>
      </c>
      <c r="F189" s="16">
        <v>1</v>
      </c>
      <c r="G189" s="17">
        <f>E189 * F189 * 21813.5105</f>
        <v>21813.5105</v>
      </c>
      <c r="H189" s="17">
        <f>E189 * F189 * 92935.254013</f>
        <v>92935.254012999998</v>
      </c>
      <c r="I189" s="17">
        <f t="shared" si="25"/>
        <v>0</v>
      </c>
      <c r="J189" s="17">
        <f>E189 * F189 * 21857.137521</f>
        <v>21857.137521000001</v>
      </c>
      <c r="K189" s="17">
        <f>E189 * F189 * 20900.703011</f>
        <v>20900.703011000001</v>
      </c>
      <c r="L189" s="24">
        <f t="shared" si="26"/>
        <v>1575.0660504500001</v>
      </c>
      <c r="M189" s="18">
        <f>SUM(G189:K189)</f>
        <v>157506.605045</v>
      </c>
    </row>
    <row r="190" spans="1:13" ht="38.25">
      <c r="A190" s="12">
        <v>187</v>
      </c>
      <c r="B190" s="13" t="s">
        <v>468</v>
      </c>
      <c r="C190" s="14" t="s">
        <v>469</v>
      </c>
      <c r="D190" s="14" t="s">
        <v>453</v>
      </c>
      <c r="E190" s="15">
        <v>1</v>
      </c>
      <c r="F190" s="16">
        <v>1</v>
      </c>
      <c r="G190" s="17">
        <f>E190 * F190 * 15149.65775</f>
        <v>15149.65775</v>
      </c>
      <c r="H190" s="17">
        <f>E190 * F190 * 38186.149244</f>
        <v>38186.149244</v>
      </c>
      <c r="I190" s="17">
        <f t="shared" si="25"/>
        <v>0</v>
      </c>
      <c r="J190" s="17">
        <f>E190 * F190 * 15179.957066</f>
        <v>15179.957066000001</v>
      </c>
      <c r="K190" s="17">
        <f>E190 * F190 * 10482.911901</f>
        <v>10482.911900999999</v>
      </c>
      <c r="L190" s="24">
        <f t="shared" si="26"/>
        <v>789.98675961000004</v>
      </c>
      <c r="M190" s="18">
        <f>SUM(G190:K190)</f>
        <v>78998.675961000001</v>
      </c>
    </row>
    <row r="191" spans="1:13" ht="38.25">
      <c r="A191" s="12">
        <v>188</v>
      </c>
      <c r="B191" s="13" t="s">
        <v>470</v>
      </c>
      <c r="C191" s="14" t="s">
        <v>463</v>
      </c>
      <c r="D191" s="14" t="s">
        <v>453</v>
      </c>
      <c r="E191" s="15">
        <v>1</v>
      </c>
      <c r="F191" s="16">
        <v>1</v>
      </c>
      <c r="G191" s="17">
        <f>E191 * F191 * 16834.339625</f>
        <v>16834.339625000001</v>
      </c>
      <c r="H191" s="17">
        <f>E191 * F191 * 50966.043883</f>
        <v>50966.043882999998</v>
      </c>
      <c r="I191" s="17">
        <f t="shared" si="25"/>
        <v>0</v>
      </c>
      <c r="J191" s="17">
        <f>E191 * F191 * 16868.008305</f>
        <v>16868.008304999999</v>
      </c>
      <c r="K191" s="17">
        <f>E191 * F191 * 12954.263947</f>
        <v>12954.263946999999</v>
      </c>
      <c r="L191" s="24">
        <f t="shared" si="26"/>
        <v>976.22655759999998</v>
      </c>
      <c r="M191" s="18">
        <f>SUM(G191:K191)</f>
        <v>97622.655759999994</v>
      </c>
    </row>
    <row r="192" spans="1:13" ht="38.25">
      <c r="A192" s="12">
        <v>189</v>
      </c>
      <c r="B192" s="13" t="s">
        <v>471</v>
      </c>
      <c r="C192" s="14" t="s">
        <v>465</v>
      </c>
      <c r="D192" s="14" t="s">
        <v>453</v>
      </c>
      <c r="E192" s="15">
        <v>1</v>
      </c>
      <c r="F192" s="16">
        <v>1</v>
      </c>
      <c r="G192" s="17">
        <f>E192 * F192 * 19779.413125</f>
        <v>19779.413124999999</v>
      </c>
      <c r="H192" s="17">
        <f>E192 * F192 * 72457.607998</f>
        <v>72457.607998000007</v>
      </c>
      <c r="I192" s="17">
        <f t="shared" si="25"/>
        <v>0</v>
      </c>
      <c r="J192" s="17">
        <f>E192 * F192 * 19818.971952</f>
        <v>19818.971952</v>
      </c>
      <c r="K192" s="17">
        <f>E192 * F192 * 17144.56694</f>
        <v>17144.566940000001</v>
      </c>
      <c r="L192" s="24">
        <f t="shared" si="26"/>
        <v>1292.0056001500002</v>
      </c>
      <c r="M192" s="18">
        <f>SUM(G192:K192)</f>
        <v>129200.56001500001</v>
      </c>
    </row>
    <row r="193" spans="1:13" ht="38.25">
      <c r="A193" s="12">
        <v>190</v>
      </c>
      <c r="B193" s="13" t="s">
        <v>472</v>
      </c>
      <c r="C193" s="14" t="s">
        <v>473</v>
      </c>
      <c r="D193" s="14" t="s">
        <v>453</v>
      </c>
      <c r="E193" s="15">
        <v>1</v>
      </c>
      <c r="F193" s="16">
        <v>1</v>
      </c>
      <c r="G193" s="17">
        <f>E193 * F193 * 21813.5105</f>
        <v>21813.5105</v>
      </c>
      <c r="H193" s="17">
        <f>E193 * F193 * 88098.794027</f>
        <v>88098.794026999996</v>
      </c>
      <c r="I193" s="17">
        <f t="shared" si="25"/>
        <v>0</v>
      </c>
      <c r="J193" s="17">
        <f>E193 * F193 * 21857.137521</f>
        <v>21857.137521000001</v>
      </c>
      <c r="K193" s="17">
        <f>E193 * F193 * 20160.724634</f>
        <v>20160.724633999998</v>
      </c>
      <c r="L193" s="24">
        <f t="shared" si="26"/>
        <v>1519.3016668199998</v>
      </c>
      <c r="M193" s="18">
        <f>SUM(G193:K193)</f>
        <v>151930.16668199998</v>
      </c>
    </row>
    <row r="194" spans="1:13" ht="38.25">
      <c r="A194" s="12">
        <v>191</v>
      </c>
      <c r="B194" s="13" t="s">
        <v>474</v>
      </c>
      <c r="C194" s="14" t="s">
        <v>475</v>
      </c>
      <c r="D194" s="14" t="s">
        <v>453</v>
      </c>
      <c r="E194" s="15">
        <v>1</v>
      </c>
      <c r="F194" s="16">
        <v>1</v>
      </c>
      <c r="G194" s="17">
        <f>E194 * F194 * 16110.51</f>
        <v>16110.51</v>
      </c>
      <c r="H194" s="17">
        <f>E194 * F194 * 35491.472047</f>
        <v>35491.472047000003</v>
      </c>
      <c r="I194" s="17">
        <f t="shared" si="25"/>
        <v>0</v>
      </c>
      <c r="J194" s="17">
        <f>E194 * F194 * 16142.73102</f>
        <v>16142.731019999999</v>
      </c>
      <c r="K194" s="17">
        <f>E194 * F194 * 10364.941099</f>
        <v>10364.941099</v>
      </c>
      <c r="L194" s="24">
        <f t="shared" si="26"/>
        <v>781.09654166000007</v>
      </c>
      <c r="M194" s="18">
        <f>SUM(G194:K194)</f>
        <v>78109.654166000008</v>
      </c>
    </row>
    <row r="195" spans="1:13" ht="38.25">
      <c r="A195" s="12">
        <v>192</v>
      </c>
      <c r="B195" s="13" t="s">
        <v>476</v>
      </c>
      <c r="C195" s="14" t="s">
        <v>477</v>
      </c>
      <c r="D195" s="14" t="s">
        <v>453</v>
      </c>
      <c r="E195" s="15">
        <v>1</v>
      </c>
      <c r="F195" s="16">
        <v>1</v>
      </c>
      <c r="G195" s="17">
        <f>E195 * F195 * 17349.78</f>
        <v>17349.78</v>
      </c>
      <c r="H195" s="17">
        <f>E195 * F195 * 56469.203407</f>
        <v>56469.203407000001</v>
      </c>
      <c r="I195" s="17">
        <f t="shared" si="25"/>
        <v>0</v>
      </c>
      <c r="J195" s="17">
        <f>E195 * F195 * 17384.47956</f>
        <v>17384.47956</v>
      </c>
      <c r="K195" s="17">
        <f>E195 * F195 * 13954.129834</f>
        <v>13954.129833999999</v>
      </c>
      <c r="L195" s="24">
        <f t="shared" si="26"/>
        <v>1051.5759280099999</v>
      </c>
      <c r="M195" s="18">
        <f>SUM(G195:K195)</f>
        <v>105157.59280099999</v>
      </c>
    </row>
    <row r="196" spans="1:13" ht="25.5">
      <c r="A196" s="12">
        <v>193</v>
      </c>
      <c r="B196" s="13" t="s">
        <v>478</v>
      </c>
      <c r="C196" s="14" t="s">
        <v>479</v>
      </c>
      <c r="D196" s="14" t="s">
        <v>453</v>
      </c>
      <c r="E196" s="15">
        <v>1</v>
      </c>
      <c r="F196" s="16">
        <v>1</v>
      </c>
      <c r="G196" s="17">
        <f>E196 * F196 * 25686.101436</f>
        <v>25686.101436000001</v>
      </c>
      <c r="H196" s="17">
        <f>E196 * F196 * 75598.819282</f>
        <v>75598.819281999997</v>
      </c>
      <c r="I196" s="17">
        <f t="shared" si="25"/>
        <v>0</v>
      </c>
      <c r="J196" s="17">
        <f>E196 * F196 * 25737.473639</f>
        <v>25737.473639</v>
      </c>
      <c r="K196" s="17">
        <f>E196 * F196 * 19434.426337</f>
        <v>19434.426337000001</v>
      </c>
      <c r="L196" s="24">
        <f t="shared" si="26"/>
        <v>1464.56820694</v>
      </c>
      <c r="M196" s="18">
        <f>SUM(G196:K196)</f>
        <v>146456.82069399999</v>
      </c>
    </row>
    <row r="197" spans="1:13" ht="38.25">
      <c r="A197" s="12">
        <v>194</v>
      </c>
      <c r="B197" s="13" t="s">
        <v>480</v>
      </c>
      <c r="C197" s="14" t="s">
        <v>481</v>
      </c>
      <c r="D197" s="14" t="s">
        <v>453</v>
      </c>
      <c r="E197" s="15">
        <v>1</v>
      </c>
      <c r="F197" s="16">
        <v>1</v>
      </c>
      <c r="G197" s="17">
        <f>E197 * F197 * 29398.954356</f>
        <v>29398.954355999998</v>
      </c>
      <c r="H197" s="17">
        <f>E197 * F197 * 87881.317631</f>
        <v>87881.317630999998</v>
      </c>
      <c r="I197" s="17">
        <f t="shared" si="25"/>
        <v>0</v>
      </c>
      <c r="J197" s="17">
        <f>E197 * F197 * 29457.752265</f>
        <v>29457.752264999999</v>
      </c>
      <c r="K197" s="17">
        <f>E197 * F197 * 22450.91771</f>
        <v>22450.917710000002</v>
      </c>
      <c r="L197" s="24">
        <f t="shared" si="26"/>
        <v>1691.8894196200001</v>
      </c>
      <c r="M197" s="18">
        <f>SUM(G197:K197)</f>
        <v>169188.94196200001</v>
      </c>
    </row>
    <row r="198" spans="1:13" ht="25.5">
      <c r="A198" s="12">
        <v>195</v>
      </c>
      <c r="B198" s="13" t="s">
        <v>482</v>
      </c>
      <c r="C198" s="14" t="s">
        <v>483</v>
      </c>
      <c r="D198" s="14" t="s">
        <v>453</v>
      </c>
      <c r="E198" s="15">
        <v>1</v>
      </c>
      <c r="F198" s="16">
        <v>1</v>
      </c>
      <c r="G198" s="17">
        <f>E198 * F198 * 19794.86025</f>
        <v>19794.860250000002</v>
      </c>
      <c r="H198" s="17">
        <f>E198 * F198 * 52466.97</f>
        <v>52466.97</v>
      </c>
      <c r="I198" s="17">
        <f t="shared" si="25"/>
        <v>0</v>
      </c>
      <c r="J198" s="17">
        <f>E198 * F198 * 19834.449971</f>
        <v>19834.449970999998</v>
      </c>
      <c r="K198" s="17">
        <f>E198 * F198 * 14090.730873</f>
        <v>14090.730873</v>
      </c>
      <c r="L198" s="24">
        <f t="shared" si="26"/>
        <v>1061.8701109399999</v>
      </c>
      <c r="M198" s="18">
        <f>SUM(G198:K198)</f>
        <v>106187.01109399999</v>
      </c>
    </row>
    <row r="199" spans="1:13" ht="25.5">
      <c r="A199" s="12">
        <v>196</v>
      </c>
      <c r="B199" s="13" t="s">
        <v>484</v>
      </c>
      <c r="C199" s="14" t="s">
        <v>485</v>
      </c>
      <c r="D199" s="14" t="s">
        <v>453</v>
      </c>
      <c r="E199" s="15">
        <v>1</v>
      </c>
      <c r="F199" s="16">
        <v>1</v>
      </c>
      <c r="G199" s="17">
        <f>E199 * F199 * 19835.3958</f>
        <v>19835.395799999998</v>
      </c>
      <c r="H199" s="17">
        <f>E199 * F199 * 91999.0476</f>
        <v>91999.047600000005</v>
      </c>
      <c r="I199" s="17">
        <f t="shared" si="25"/>
        <v>0</v>
      </c>
      <c r="J199" s="17">
        <f>E199 * F199 * 19875.066592</f>
        <v>19875.066591999999</v>
      </c>
      <c r="K199" s="17">
        <f>E199 * F199 * 20151.555029</f>
        <v>20151.555028999999</v>
      </c>
      <c r="L199" s="24">
        <f t="shared" si="26"/>
        <v>1518.6106502100001</v>
      </c>
      <c r="M199" s="18">
        <f>SUM(G199:K199)</f>
        <v>151861.06502100002</v>
      </c>
    </row>
    <row r="200" spans="1:13" ht="38.25">
      <c r="A200" s="12">
        <v>197</v>
      </c>
      <c r="B200" s="13" t="s">
        <v>486</v>
      </c>
      <c r="C200" s="14" t="s">
        <v>487</v>
      </c>
      <c r="D200" s="14" t="s">
        <v>328</v>
      </c>
      <c r="E200" s="15">
        <v>1</v>
      </c>
      <c r="F200" s="16">
        <v>1</v>
      </c>
      <c r="G200" s="17">
        <f>E200 * F200 * 8973.869</f>
        <v>8973.8690000000006</v>
      </c>
      <c r="H200" s="17">
        <f>E200 * F200 * 37933.65012</f>
        <v>37933.650119999998</v>
      </c>
      <c r="I200" s="17">
        <f t="shared" si="25"/>
        <v>0</v>
      </c>
      <c r="J200" s="17">
        <f>E200 * F200 * 8991.816738</f>
        <v>8991.8167379999995</v>
      </c>
      <c r="K200" s="17">
        <f>E200 * F200 * 8552.598386</f>
        <v>8552.5983859999997</v>
      </c>
      <c r="L200" s="24">
        <f t="shared" si="26"/>
        <v>644.51934243999995</v>
      </c>
      <c r="M200" s="18">
        <f>SUM(G200:K200)</f>
        <v>64451.934243999996</v>
      </c>
    </row>
    <row r="201" spans="1:13" ht="38.25">
      <c r="A201" s="12">
        <v>198</v>
      </c>
      <c r="B201" s="13" t="s">
        <v>488</v>
      </c>
      <c r="C201" s="14" t="s">
        <v>489</v>
      </c>
      <c r="D201" s="14" t="s">
        <v>328</v>
      </c>
      <c r="E201" s="15">
        <v>1</v>
      </c>
      <c r="F201" s="16">
        <v>1</v>
      </c>
      <c r="G201" s="17">
        <f>E201 * F201 * 10914.165</f>
        <v>10914.165000000001</v>
      </c>
      <c r="H201" s="17">
        <f>E201 * F201 * 37933.65012</f>
        <v>37933.650119999998</v>
      </c>
      <c r="I201" s="17">
        <f t="shared" si="25"/>
        <v>0</v>
      </c>
      <c r="J201" s="17">
        <f>E201 * F201 * 10935.99333</f>
        <v>10935.993329999999</v>
      </c>
      <c r="K201" s="17">
        <f>E201 * F201 * 9146.922693</f>
        <v>9146.9226930000004</v>
      </c>
      <c r="L201" s="24">
        <f t="shared" si="26"/>
        <v>689.30731143000003</v>
      </c>
      <c r="M201" s="18">
        <f>SUM(G201:K201)</f>
        <v>68930.731142999997</v>
      </c>
    </row>
    <row r="202" spans="1:13">
      <c r="A202" s="12">
        <v>199</v>
      </c>
      <c r="B202" s="13" t="s">
        <v>490</v>
      </c>
      <c r="C202" s="14" t="s">
        <v>491</v>
      </c>
      <c r="D202" s="14" t="s">
        <v>492</v>
      </c>
      <c r="E202" s="15">
        <v>1</v>
      </c>
      <c r="F202" s="16">
        <v>1</v>
      </c>
      <c r="G202" s="17">
        <f>E202 * F202 * 794.99</f>
        <v>794.99</v>
      </c>
      <c r="H202" s="17">
        <f>E202 * F202 * 10607.89015</f>
        <v>10607.890149999999</v>
      </c>
      <c r="I202" s="17">
        <f t="shared" si="25"/>
        <v>0</v>
      </c>
      <c r="J202" s="17">
        <f>E202 * F202 * 796.57998</f>
        <v>796.57997999999998</v>
      </c>
      <c r="K202" s="17">
        <f>E202 * F202 * 1866.5174</f>
        <v>1866.5174</v>
      </c>
      <c r="L202" s="24">
        <f t="shared" si="26"/>
        <v>140.65977530000001</v>
      </c>
      <c r="M202" s="18">
        <f>SUM(G202:K202)</f>
        <v>14065.97753</v>
      </c>
    </row>
    <row r="203" spans="1:13">
      <c r="A203" s="12">
        <v>200</v>
      </c>
      <c r="B203" s="13" t="s">
        <v>493</v>
      </c>
      <c r="C203" s="14" t="s">
        <v>494</v>
      </c>
      <c r="D203" s="14" t="s">
        <v>492</v>
      </c>
      <c r="E203" s="15">
        <v>1</v>
      </c>
      <c r="F203" s="16">
        <v>1</v>
      </c>
      <c r="G203" s="17">
        <f>E203 * F203 * 1152.32</f>
        <v>1152.32</v>
      </c>
      <c r="H203" s="17">
        <f>E203 * F203 * 23354.00927</f>
        <v>23354.009269999999</v>
      </c>
      <c r="I203" s="17">
        <f t="shared" si="25"/>
        <v>0</v>
      </c>
      <c r="J203" s="17">
        <f>E203 * F203 * 1154.62464</f>
        <v>1154.62464</v>
      </c>
      <c r="K203" s="17">
        <f>E203 * F203 * 3926.125948</f>
        <v>3926.1259479999999</v>
      </c>
      <c r="L203" s="24">
        <f t="shared" si="26"/>
        <v>295.87079857999998</v>
      </c>
      <c r="M203" s="18">
        <f>SUM(G203:K203)</f>
        <v>29587.079857999997</v>
      </c>
    </row>
    <row r="204" spans="1:13">
      <c r="A204" s="12">
        <v>201</v>
      </c>
      <c r="B204" s="13" t="s">
        <v>495</v>
      </c>
      <c r="C204" s="14" t="s">
        <v>496</v>
      </c>
      <c r="D204" s="14" t="s">
        <v>492</v>
      </c>
      <c r="E204" s="15">
        <v>1</v>
      </c>
      <c r="F204" s="16">
        <v>1</v>
      </c>
      <c r="G204" s="17">
        <f>E204 * F204 * 1966.7</f>
        <v>1966.7</v>
      </c>
      <c r="H204" s="17">
        <f>E204 * F204 * 41894.965402</f>
        <v>41894.965402000002</v>
      </c>
      <c r="I204" s="17">
        <f t="shared" si="25"/>
        <v>0</v>
      </c>
      <c r="J204" s="17">
        <f>E204 * F204 * 1970.6334</f>
        <v>1970.6333999999999</v>
      </c>
      <c r="K204" s="17">
        <f>E204 * F204 * 7012.341716</f>
        <v>7012.3417159999999</v>
      </c>
      <c r="L204" s="24">
        <f t="shared" si="26"/>
        <v>528.44640518000006</v>
      </c>
      <c r="M204" s="18">
        <f>SUM(G204:K204)</f>
        <v>52844.640518</v>
      </c>
    </row>
    <row r="205" spans="1:13" ht="38.25">
      <c r="A205" s="12">
        <v>202</v>
      </c>
      <c r="B205" s="13" t="s">
        <v>497</v>
      </c>
      <c r="C205" s="14" t="s">
        <v>498</v>
      </c>
      <c r="D205" s="14" t="s">
        <v>499</v>
      </c>
      <c r="E205" s="15">
        <v>1</v>
      </c>
      <c r="F205" s="16">
        <v>1</v>
      </c>
      <c r="G205" s="17">
        <f>E205 * F205 * 31.52981</f>
        <v>31.529810000000001</v>
      </c>
      <c r="H205" s="17">
        <f>E205 * F205 * 5.369849</f>
        <v>5.3698490000000003</v>
      </c>
      <c r="I205" s="17">
        <f t="shared" si="25"/>
        <v>0</v>
      </c>
      <c r="J205" s="17">
        <f>E205 * F205 * 31.5928699999999</f>
        <v>31.592869999999898</v>
      </c>
      <c r="K205" s="17">
        <f>E205 * F205 * 10.479356</f>
        <v>10.479355999999999</v>
      </c>
      <c r="L205" s="24">
        <f>M205/E205/F205</f>
        <v>78.971884999999901</v>
      </c>
      <c r="M205" s="18">
        <f>SUM(G205:K205)</f>
        <v>78.971884999999901</v>
      </c>
    </row>
    <row r="206" spans="1:13" ht="38.25">
      <c r="A206" s="12">
        <v>203</v>
      </c>
      <c r="B206" s="13" t="s">
        <v>500</v>
      </c>
      <c r="C206" s="14" t="s">
        <v>501</v>
      </c>
      <c r="D206" s="14" t="s">
        <v>499</v>
      </c>
      <c r="E206" s="15">
        <v>1</v>
      </c>
      <c r="F206" s="16">
        <v>1</v>
      </c>
      <c r="G206" s="17">
        <f>E206 * F206 * 31.52981</f>
        <v>31.529810000000001</v>
      </c>
      <c r="H206" s="17">
        <f>E206 * F206 * 11.097155</f>
        <v>11.097155000000001</v>
      </c>
      <c r="I206" s="17">
        <f t="shared" si="25"/>
        <v>0</v>
      </c>
      <c r="J206" s="17">
        <f>E206 * F206 * 31.5928699999999</f>
        <v>31.592869999999898</v>
      </c>
      <c r="K206" s="17">
        <f>E206 * F206 * 11.355635</f>
        <v>11.355634999999999</v>
      </c>
      <c r="L206" s="24">
        <f t="shared" ref="L206:L209" si="27">M206/E206/F206</f>
        <v>85.57546999999991</v>
      </c>
      <c r="M206" s="18">
        <f>SUM(G206:K206)</f>
        <v>85.57546999999991</v>
      </c>
    </row>
    <row r="207" spans="1:13" ht="38.25">
      <c r="A207" s="12">
        <v>204</v>
      </c>
      <c r="B207" s="13" t="s">
        <v>502</v>
      </c>
      <c r="C207" s="14" t="s">
        <v>503</v>
      </c>
      <c r="D207" s="14" t="s">
        <v>499</v>
      </c>
      <c r="E207" s="15">
        <v>1</v>
      </c>
      <c r="F207" s="16">
        <v>1</v>
      </c>
      <c r="G207" s="17">
        <f>E207 * F207 * 31.52981</f>
        <v>31.529810000000001</v>
      </c>
      <c r="H207" s="17">
        <f>E207 * F207 * 16.82446</f>
        <v>16.824459999999998</v>
      </c>
      <c r="I207" s="17">
        <f t="shared" si="25"/>
        <v>0</v>
      </c>
      <c r="J207" s="17">
        <f>E207 * F207 * 31.5928699999999</f>
        <v>31.592869999999898</v>
      </c>
      <c r="K207" s="17">
        <f>E207 * F207 * 12.231913</f>
        <v>12.231913</v>
      </c>
      <c r="L207" s="24">
        <f t="shared" si="27"/>
        <v>92.179052999999911</v>
      </c>
      <c r="M207" s="18">
        <f>SUM(G207:K207)</f>
        <v>92.179052999999911</v>
      </c>
    </row>
    <row r="208" spans="1:13" ht="25.5">
      <c r="A208" s="12">
        <v>205</v>
      </c>
      <c r="B208" s="13" t="s">
        <v>504</v>
      </c>
      <c r="C208" s="14" t="s">
        <v>505</v>
      </c>
      <c r="D208" s="14" t="s">
        <v>499</v>
      </c>
      <c r="E208" s="15">
        <v>1</v>
      </c>
      <c r="F208" s="16">
        <v>1</v>
      </c>
      <c r="G208" s="17">
        <f>E208 * F208 * 31.52981</f>
        <v>31.529810000000001</v>
      </c>
      <c r="H208" s="17">
        <f>E208 * F208 * 6.344688</f>
        <v>6.3446879999999997</v>
      </c>
      <c r="I208" s="17">
        <f t="shared" si="25"/>
        <v>0</v>
      </c>
      <c r="J208" s="17">
        <f>E208 * F208 * 31.5928699999999</f>
        <v>31.592869999999898</v>
      </c>
      <c r="K208" s="17">
        <f>E208 * F208 * 10.6285069999999</f>
        <v>10.6285069999999</v>
      </c>
      <c r="L208" s="24">
        <f t="shared" si="27"/>
        <v>80.095874999999808</v>
      </c>
      <c r="M208" s="18">
        <f>SUM(G208:K208)</f>
        <v>80.095874999999808</v>
      </c>
    </row>
    <row r="209" spans="1:13" ht="25.5">
      <c r="A209" s="12">
        <v>206</v>
      </c>
      <c r="B209" s="13" t="s">
        <v>506</v>
      </c>
      <c r="C209" s="14" t="s">
        <v>507</v>
      </c>
      <c r="D209" s="14" t="s">
        <v>508</v>
      </c>
      <c r="E209" s="15">
        <v>1</v>
      </c>
      <c r="F209" s="16">
        <v>1</v>
      </c>
      <c r="G209" s="17">
        <f>E209 * F209 * 2458.3354</f>
        <v>2458.3353999999999</v>
      </c>
      <c r="H209" s="17">
        <f>E209 * F209 * 0</f>
        <v>0</v>
      </c>
      <c r="I209" s="17">
        <f t="shared" si="25"/>
        <v>0</v>
      </c>
      <c r="J209" s="17">
        <f>E209 * F209 * 2463.252071</f>
        <v>2463.2520709999999</v>
      </c>
      <c r="K209" s="17">
        <f>E209 * F209 * 753.002883</f>
        <v>753.002883</v>
      </c>
      <c r="L209" s="24">
        <f t="shared" si="27"/>
        <v>5674.5903539999999</v>
      </c>
      <c r="M209" s="18">
        <f>SUM(G209:K209)</f>
        <v>5674.5903539999999</v>
      </c>
    </row>
    <row r="210" spans="1:13" ht="25.5">
      <c r="A210" s="12">
        <v>207</v>
      </c>
      <c r="B210" s="13" t="s">
        <v>509</v>
      </c>
      <c r="C210" s="14" t="s">
        <v>510</v>
      </c>
      <c r="D210" s="14" t="s">
        <v>375</v>
      </c>
      <c r="E210" s="15">
        <v>1</v>
      </c>
      <c r="F210" s="16">
        <v>1</v>
      </c>
      <c r="G210" s="17">
        <f>E210 * F210 * 22988.76525</f>
        <v>22988.76525</v>
      </c>
      <c r="H210" s="17">
        <f>E210 * F210 * 335688.851945</f>
        <v>335688.851945</v>
      </c>
      <c r="I210" s="17">
        <f t="shared" si="25"/>
        <v>0</v>
      </c>
      <c r="J210" s="17">
        <f>E210 * F210 * 23034.742781</f>
        <v>23034.742781000001</v>
      </c>
      <c r="K210" s="17">
        <f>E210 * F210 * 58401.991076</f>
        <v>58401.991075999998</v>
      </c>
      <c r="L210" s="24">
        <f t="shared" ref="L210:L237" si="28">M210/E210/F210/100</f>
        <v>4401.1435105199998</v>
      </c>
      <c r="M210" s="18">
        <f>SUM(G210:K210)</f>
        <v>440114.35105199995</v>
      </c>
    </row>
    <row r="211" spans="1:13" ht="38.25">
      <c r="A211" s="12">
        <v>208</v>
      </c>
      <c r="B211" s="13" t="s">
        <v>511</v>
      </c>
      <c r="C211" s="14" t="s">
        <v>512</v>
      </c>
      <c r="D211" s="14" t="s">
        <v>513</v>
      </c>
      <c r="E211" s="15">
        <v>1</v>
      </c>
      <c r="F211" s="16">
        <v>1</v>
      </c>
      <c r="G211" s="17">
        <f>E211 * F211 * 10292.053096</f>
        <v>10292.053096</v>
      </c>
      <c r="H211" s="17">
        <f>E211 * F211 * 1910.960898</f>
        <v>1910.960898</v>
      </c>
      <c r="I211" s="17">
        <f t="shared" si="25"/>
        <v>0</v>
      </c>
      <c r="J211" s="17">
        <f>E211 * F211 * 10312.637202</f>
        <v>10312.637202</v>
      </c>
      <c r="K211" s="17">
        <f>E211 * F211 * 3444.894633</f>
        <v>3444.8946329999999</v>
      </c>
      <c r="L211" s="24">
        <f t="shared" si="28"/>
        <v>259.60545829</v>
      </c>
      <c r="M211" s="18">
        <f>SUM(G211:K211)</f>
        <v>25960.545828999999</v>
      </c>
    </row>
    <row r="212" spans="1:13" ht="38.25">
      <c r="A212" s="12">
        <v>209</v>
      </c>
      <c r="B212" s="13" t="s">
        <v>514</v>
      </c>
      <c r="C212" s="14" t="s">
        <v>515</v>
      </c>
      <c r="D212" s="14" t="s">
        <v>513</v>
      </c>
      <c r="E212" s="15">
        <v>1</v>
      </c>
      <c r="F212" s="16">
        <v>1</v>
      </c>
      <c r="G212" s="17">
        <f>E212 * F212 * 11787.991046</f>
        <v>11787.991045999999</v>
      </c>
      <c r="H212" s="17">
        <f>E212 * F212 * 2386.83386</f>
        <v>2386.8338600000002</v>
      </c>
      <c r="I212" s="17">
        <f t="shared" si="25"/>
        <v>0</v>
      </c>
      <c r="J212" s="17">
        <f>E212 * F212 * 11811.567028</f>
        <v>11811.567027999999</v>
      </c>
      <c r="K212" s="17">
        <f>E212 * F212 * 3975.917966</f>
        <v>3975.917966</v>
      </c>
      <c r="L212" s="24">
        <f t="shared" si="28"/>
        <v>299.62309900000002</v>
      </c>
      <c r="M212" s="18">
        <f>SUM(G212:K212)</f>
        <v>29962.3099</v>
      </c>
    </row>
    <row r="213" spans="1:13" ht="25.5">
      <c r="A213" s="12">
        <v>210</v>
      </c>
      <c r="B213" s="13" t="s">
        <v>516</v>
      </c>
      <c r="C213" s="14" t="s">
        <v>517</v>
      </c>
      <c r="D213" s="14" t="s">
        <v>162</v>
      </c>
      <c r="E213" s="15">
        <v>1</v>
      </c>
      <c r="F213" s="16">
        <v>1</v>
      </c>
      <c r="G213" s="17">
        <f>E213 * F213 * 10944.5985</f>
        <v>10944.5985</v>
      </c>
      <c r="H213" s="17">
        <f>E213 * F213 * 22567.291169</f>
        <v>22567.291169</v>
      </c>
      <c r="I213" s="17">
        <f t="shared" ref="I213:I244" si="29">E213 * F213 * 0</f>
        <v>0</v>
      </c>
      <c r="J213" s="17">
        <f>E213 * F213 * 10966.487697</f>
        <v>10966.487697</v>
      </c>
      <c r="K213" s="17">
        <f>E213 * F213 * 6805.191737</f>
        <v>6805.1917370000001</v>
      </c>
      <c r="L213" s="24">
        <f t="shared" si="28"/>
        <v>512.83569103000002</v>
      </c>
      <c r="M213" s="18">
        <f>SUM(G213:K213)</f>
        <v>51283.569103000002</v>
      </c>
    </row>
    <row r="214" spans="1:13" ht="25.5">
      <c r="A214" s="12">
        <v>211</v>
      </c>
      <c r="B214" s="13" t="s">
        <v>518</v>
      </c>
      <c r="C214" s="14" t="s">
        <v>519</v>
      </c>
      <c r="D214" s="14" t="s">
        <v>162</v>
      </c>
      <c r="E214" s="15">
        <v>1</v>
      </c>
      <c r="F214" s="16">
        <v>1</v>
      </c>
      <c r="G214" s="17">
        <f>E214 * F214 * 13917.2055</f>
        <v>13917.2055</v>
      </c>
      <c r="H214" s="17">
        <f>E214 * F214 * 48472.020701</f>
        <v>48472.020701000001</v>
      </c>
      <c r="I214" s="17">
        <f t="shared" si="29"/>
        <v>0</v>
      </c>
      <c r="J214" s="17">
        <f>E214 * F214 * 13945.039911</f>
        <v>13945.039911</v>
      </c>
      <c r="K214" s="17">
        <f>E214 * F214 * 11679.142715</f>
        <v>11679.142715</v>
      </c>
      <c r="L214" s="24">
        <f t="shared" si="28"/>
        <v>880.13408826999989</v>
      </c>
      <c r="M214" s="18">
        <f>SUM(G214:K214)</f>
        <v>88013.408826999992</v>
      </c>
    </row>
    <row r="215" spans="1:13" ht="25.5">
      <c r="A215" s="12">
        <v>212</v>
      </c>
      <c r="B215" s="13" t="s">
        <v>520</v>
      </c>
      <c r="C215" s="14" t="s">
        <v>521</v>
      </c>
      <c r="D215" s="14" t="s">
        <v>162</v>
      </c>
      <c r="E215" s="15">
        <v>1</v>
      </c>
      <c r="F215" s="16">
        <v>1</v>
      </c>
      <c r="G215" s="17">
        <f>E215 * F215 * 17970.7605</f>
        <v>17970.7605</v>
      </c>
      <c r="H215" s="17">
        <f>E215 * F215 * 134440.587691</f>
        <v>134440.58769099999</v>
      </c>
      <c r="I215" s="17">
        <f t="shared" si="29"/>
        <v>0</v>
      </c>
      <c r="J215" s="17">
        <f>E215 * F215 * 18006.7020209999</f>
        <v>18006.702020999899</v>
      </c>
      <c r="K215" s="17">
        <f>E215 * F215 * 26073.9616819999</f>
        <v>26073.961681999899</v>
      </c>
      <c r="L215" s="24">
        <f t="shared" si="28"/>
        <v>1964.920118939998</v>
      </c>
      <c r="M215" s="18">
        <f>SUM(G215:K215)</f>
        <v>196492.01189399979</v>
      </c>
    </row>
    <row r="216" spans="1:13">
      <c r="A216" s="12">
        <v>213</v>
      </c>
      <c r="B216" s="13" t="s">
        <v>522</v>
      </c>
      <c r="C216" s="14" t="s">
        <v>523</v>
      </c>
      <c r="D216" s="14" t="s">
        <v>162</v>
      </c>
      <c r="E216" s="15">
        <v>1</v>
      </c>
      <c r="F216" s="16">
        <v>1</v>
      </c>
      <c r="G216" s="17">
        <f>E216 * F216 * 41616.498</f>
        <v>41616.498</v>
      </c>
      <c r="H216" s="17">
        <f>E216 * F216 * 331856.724</f>
        <v>331856.72399999999</v>
      </c>
      <c r="I216" s="17">
        <f t="shared" si="29"/>
        <v>0</v>
      </c>
      <c r="J216" s="17">
        <f>E216 * F216 * 41699.730996</f>
        <v>41699.730995999998</v>
      </c>
      <c r="K216" s="17">
        <f>E216 * F216 * 63521.461809</f>
        <v>63521.461809</v>
      </c>
      <c r="L216" s="24">
        <f t="shared" si="28"/>
        <v>4786.94414805</v>
      </c>
      <c r="M216" s="18">
        <f>SUM(G216:K216)</f>
        <v>478694.41480500001</v>
      </c>
    </row>
    <row r="217" spans="1:13">
      <c r="A217" s="12">
        <v>214</v>
      </c>
      <c r="B217" s="13" t="s">
        <v>524</v>
      </c>
      <c r="C217" s="14" t="s">
        <v>525</v>
      </c>
      <c r="D217" s="14" t="s">
        <v>162</v>
      </c>
      <c r="E217" s="15">
        <v>1</v>
      </c>
      <c r="F217" s="16">
        <v>1</v>
      </c>
      <c r="G217" s="17">
        <f>E217 * F217 * 57020.007</f>
        <v>57020.006999999998</v>
      </c>
      <c r="H217" s="17">
        <f>E217 * F217 * 756031.3032</f>
        <v>756031.30319999997</v>
      </c>
      <c r="I217" s="17">
        <f t="shared" si="29"/>
        <v>0</v>
      </c>
      <c r="J217" s="17">
        <f>E217 * F217 * 57134.0470139999</f>
        <v>57134.047013999902</v>
      </c>
      <c r="K217" s="17">
        <f>E217 * F217 * 133138.359654</f>
        <v>133138.359654</v>
      </c>
      <c r="L217" s="24">
        <f t="shared" si="28"/>
        <v>10033.237168679998</v>
      </c>
      <c r="M217" s="18">
        <f>SUM(G217:K217)</f>
        <v>1003323.7168679999</v>
      </c>
    </row>
    <row r="218" spans="1:13">
      <c r="A218" s="12">
        <v>215</v>
      </c>
      <c r="B218" s="13" t="s">
        <v>526</v>
      </c>
      <c r="C218" s="14" t="s">
        <v>527</v>
      </c>
      <c r="D218" s="14" t="s">
        <v>162</v>
      </c>
      <c r="E218" s="15">
        <v>1</v>
      </c>
      <c r="F218" s="16">
        <v>1</v>
      </c>
      <c r="G218" s="17">
        <f>E218 * F218 * 74180.0565</f>
        <v>74180.056500000006</v>
      </c>
      <c r="H218" s="17">
        <f>E218 * F218 * 1784176.9512</f>
        <v>1784176.9512</v>
      </c>
      <c r="I218" s="17">
        <f t="shared" si="29"/>
        <v>0</v>
      </c>
      <c r="J218" s="17">
        <f>E218 * F218 * 74328.416613</f>
        <v>74328.416612999994</v>
      </c>
      <c r="K218" s="17">
        <f>E218 * F218 * 295700.86992</f>
        <v>295700.86992000003</v>
      </c>
      <c r="L218" s="24">
        <f t="shared" si="28"/>
        <v>22283.862942330001</v>
      </c>
      <c r="M218" s="18">
        <f>SUM(G218:K218)</f>
        <v>2228386.2942329999</v>
      </c>
    </row>
    <row r="219" spans="1:13">
      <c r="A219" s="12">
        <v>216</v>
      </c>
      <c r="B219" s="13" t="s">
        <v>528</v>
      </c>
      <c r="C219" s="14" t="s">
        <v>529</v>
      </c>
      <c r="D219" s="14" t="s">
        <v>422</v>
      </c>
      <c r="E219" s="15">
        <v>1</v>
      </c>
      <c r="F219" s="16">
        <v>1</v>
      </c>
      <c r="G219" s="17">
        <f>E219 * F219 * 1301.9</f>
        <v>1301.9000000000001</v>
      </c>
      <c r="H219" s="17">
        <f>E219 * F219 * 836503.245984</f>
        <v>836503.24598400004</v>
      </c>
      <c r="I219" s="17">
        <f t="shared" si="29"/>
        <v>0</v>
      </c>
      <c r="J219" s="17">
        <f>E219 * F219 * 1304.5038</f>
        <v>1304.5038</v>
      </c>
      <c r="K219" s="17">
        <f>E219 * F219 * 128383.776417</f>
        <v>128383.776417</v>
      </c>
      <c r="L219" s="24">
        <f t="shared" si="28"/>
        <v>9674.9342620099997</v>
      </c>
      <c r="M219" s="18">
        <f>SUM(G219:K219)</f>
        <v>967493.42620099999</v>
      </c>
    </row>
    <row r="220" spans="1:13" ht="38.25">
      <c r="A220" s="12">
        <v>217</v>
      </c>
      <c r="B220" s="13" t="s">
        <v>530</v>
      </c>
      <c r="C220" s="14" t="s">
        <v>531</v>
      </c>
      <c r="D220" s="14" t="s">
        <v>453</v>
      </c>
      <c r="E220" s="15">
        <v>1</v>
      </c>
      <c r="F220" s="16">
        <v>1</v>
      </c>
      <c r="G220" s="17">
        <f>E220 * F220 * 16289.9792</f>
        <v>16289.9792</v>
      </c>
      <c r="H220" s="17">
        <f>E220 * F220 * 25051.6812</f>
        <v>25051.681199999999</v>
      </c>
      <c r="I220" s="17">
        <f t="shared" si="29"/>
        <v>0</v>
      </c>
      <c r="J220" s="17">
        <f>E220 * F220 * 16322.559158</f>
        <v>16322.559158</v>
      </c>
      <c r="K220" s="17">
        <f>E220 * F220 * 8822.625592</f>
        <v>8822.6255920000003</v>
      </c>
      <c r="L220" s="24">
        <f t="shared" si="28"/>
        <v>664.86845149999999</v>
      </c>
      <c r="M220" s="18">
        <f>SUM(G220:K220)</f>
        <v>66486.845149999994</v>
      </c>
    </row>
    <row r="221" spans="1:13" ht="38.25">
      <c r="A221" s="12">
        <v>218</v>
      </c>
      <c r="B221" s="13" t="s">
        <v>532</v>
      </c>
      <c r="C221" s="14" t="s">
        <v>533</v>
      </c>
      <c r="D221" s="14" t="s">
        <v>453</v>
      </c>
      <c r="E221" s="15">
        <v>1</v>
      </c>
      <c r="F221" s="16">
        <v>1</v>
      </c>
      <c r="G221" s="17">
        <f>E221 * F221 * 17266.2622</f>
        <v>17266.262200000001</v>
      </c>
      <c r="H221" s="17">
        <f>E221 * F221 * 73790.94108</f>
        <v>73790.941080000004</v>
      </c>
      <c r="I221" s="17">
        <f t="shared" si="29"/>
        <v>0</v>
      </c>
      <c r="J221" s="17">
        <f>E221 * F221 * 17300.794724</f>
        <v>17300.794723999999</v>
      </c>
      <c r="K221" s="17">
        <f>E221 * F221 * 16578.773695</f>
        <v>16578.773695</v>
      </c>
      <c r="L221" s="24">
        <f t="shared" si="28"/>
        <v>1249.36771699</v>
      </c>
      <c r="M221" s="18">
        <f>SUM(G221:K221)</f>
        <v>124936.77169899999</v>
      </c>
    </row>
    <row r="222" spans="1:13" ht="38.25">
      <c r="A222" s="12">
        <v>219</v>
      </c>
      <c r="B222" s="13" t="s">
        <v>534</v>
      </c>
      <c r="C222" s="14" t="s">
        <v>535</v>
      </c>
      <c r="D222" s="14" t="s">
        <v>453</v>
      </c>
      <c r="E222" s="15">
        <v>1</v>
      </c>
      <c r="F222" s="16">
        <v>1</v>
      </c>
      <c r="G222" s="17">
        <f>E222 * F222 * 16289.9792</f>
        <v>16289.9792</v>
      </c>
      <c r="H222" s="17">
        <f>E222 * F222 * 25051.6812</f>
        <v>25051.681199999999</v>
      </c>
      <c r="I222" s="17">
        <f t="shared" si="29"/>
        <v>0</v>
      </c>
      <c r="J222" s="17">
        <f>E222 * F222 * 16322.559158</f>
        <v>16322.559158</v>
      </c>
      <c r="K222" s="17">
        <f>E222 * F222 * 8822.625592</f>
        <v>8822.6255920000003</v>
      </c>
      <c r="L222" s="24">
        <f t="shared" si="28"/>
        <v>664.86845149999999</v>
      </c>
      <c r="M222" s="18">
        <f>SUM(G222:K222)</f>
        <v>66486.845149999994</v>
      </c>
    </row>
    <row r="223" spans="1:13" ht="38.25">
      <c r="A223" s="12">
        <v>220</v>
      </c>
      <c r="B223" s="13" t="s">
        <v>536</v>
      </c>
      <c r="C223" s="14" t="s">
        <v>537</v>
      </c>
      <c r="D223" s="14" t="s">
        <v>453</v>
      </c>
      <c r="E223" s="15">
        <v>1</v>
      </c>
      <c r="F223" s="16">
        <v>1</v>
      </c>
      <c r="G223" s="17">
        <f>E223 * F223 * 17266.2622</f>
        <v>17266.262200000001</v>
      </c>
      <c r="H223" s="17">
        <f>E223 * F223 * 73790.94108</f>
        <v>73790.941080000004</v>
      </c>
      <c r="I223" s="17">
        <f t="shared" si="29"/>
        <v>0</v>
      </c>
      <c r="J223" s="17">
        <f>E223 * F223 * 17300.794724</f>
        <v>17300.794723999999</v>
      </c>
      <c r="K223" s="17">
        <f>E223 * F223 * 16578.773695</f>
        <v>16578.773695</v>
      </c>
      <c r="L223" s="24">
        <f t="shared" si="28"/>
        <v>1249.36771699</v>
      </c>
      <c r="M223" s="18">
        <f>SUM(G223:K223)</f>
        <v>124936.77169899999</v>
      </c>
    </row>
    <row r="224" spans="1:13" ht="38.25">
      <c r="A224" s="12">
        <v>221</v>
      </c>
      <c r="B224" s="13" t="s">
        <v>538</v>
      </c>
      <c r="C224" s="14" t="s">
        <v>539</v>
      </c>
      <c r="D224" s="14" t="s">
        <v>453</v>
      </c>
      <c r="E224" s="15">
        <v>1</v>
      </c>
      <c r="F224" s="16">
        <v>1</v>
      </c>
      <c r="G224" s="17">
        <f>E224 * F224 * 17230.33564</f>
        <v>17230.335640000001</v>
      </c>
      <c r="H224" s="17">
        <f>E224 * F224 * 268473.9177</f>
        <v>268473.91769999999</v>
      </c>
      <c r="I224" s="17">
        <f t="shared" si="29"/>
        <v>0</v>
      </c>
      <c r="J224" s="17">
        <f>E224 * F224 * 17264.796311</f>
        <v>17264.796310999998</v>
      </c>
      <c r="K224" s="17">
        <f>E224 * F224 * 46354.264596</f>
        <v>46354.264596000001</v>
      </c>
      <c r="L224" s="24">
        <f t="shared" si="28"/>
        <v>3493.2331424700005</v>
      </c>
      <c r="M224" s="18">
        <f>SUM(G224:K224)</f>
        <v>349323.31424700003</v>
      </c>
    </row>
    <row r="225" spans="1:13" ht="38.25">
      <c r="A225" s="12">
        <v>222</v>
      </c>
      <c r="B225" s="13" t="s">
        <v>540</v>
      </c>
      <c r="C225" s="14" t="s">
        <v>541</v>
      </c>
      <c r="D225" s="14" t="s">
        <v>453</v>
      </c>
      <c r="E225" s="15">
        <v>1</v>
      </c>
      <c r="F225" s="16">
        <v>1</v>
      </c>
      <c r="G225" s="17">
        <f>E225 * F225 * 61589.5104</f>
        <v>61589.510399999999</v>
      </c>
      <c r="H225" s="17">
        <f>E225 * F225 * 171737.677758</f>
        <v>171737.67775800001</v>
      </c>
      <c r="I225" s="17">
        <f t="shared" si="29"/>
        <v>0</v>
      </c>
      <c r="J225" s="17">
        <f>E225 * F225 * 61712.689421</f>
        <v>61712.689421000003</v>
      </c>
      <c r="K225" s="17">
        <f>E225 * F225 * 45141.101269</f>
        <v>45141.101268999999</v>
      </c>
      <c r="L225" s="24">
        <f t="shared" si="28"/>
        <v>3401.80978848</v>
      </c>
      <c r="M225" s="18">
        <f>SUM(G225:K225)</f>
        <v>340180.978848</v>
      </c>
    </row>
    <row r="226" spans="1:13" ht="38.25">
      <c r="A226" s="12">
        <v>223</v>
      </c>
      <c r="B226" s="13" t="s">
        <v>542</v>
      </c>
      <c r="C226" s="14" t="s">
        <v>543</v>
      </c>
      <c r="D226" s="14" t="s">
        <v>453</v>
      </c>
      <c r="E226" s="15">
        <v>1</v>
      </c>
      <c r="F226" s="16">
        <v>1</v>
      </c>
      <c r="G226" s="17">
        <f>E226 * F226 * 65132.023</f>
        <v>65132.023000000001</v>
      </c>
      <c r="H226" s="17">
        <f>E226 * F226 * 314354.556792</f>
        <v>314354.55679200002</v>
      </c>
      <c r="I226" s="17">
        <f t="shared" si="29"/>
        <v>0</v>
      </c>
      <c r="J226" s="17">
        <f>E226 * F226 * 65262.287046</f>
        <v>65262.287045999998</v>
      </c>
      <c r="K226" s="17">
        <f>E226 * F226 * 68046.576627</f>
        <v>68046.576627000002</v>
      </c>
      <c r="L226" s="24">
        <f t="shared" si="28"/>
        <v>5127.9544346500006</v>
      </c>
      <c r="M226" s="18">
        <f>SUM(G226:K226)</f>
        <v>512795.44346500002</v>
      </c>
    </row>
    <row r="227" spans="1:13" ht="38.25">
      <c r="A227" s="12">
        <v>224</v>
      </c>
      <c r="B227" s="13" t="s">
        <v>544</v>
      </c>
      <c r="C227" s="14" t="s">
        <v>545</v>
      </c>
      <c r="D227" s="14" t="s">
        <v>453</v>
      </c>
      <c r="E227" s="15">
        <v>1</v>
      </c>
      <c r="F227" s="16">
        <v>1</v>
      </c>
      <c r="G227" s="17">
        <f>E227 * F227 * 93974.2122</f>
        <v>93974.212199999994</v>
      </c>
      <c r="H227" s="17">
        <f>E227 * F227 * 454388.17164</f>
        <v>454388.17164000002</v>
      </c>
      <c r="I227" s="17">
        <f t="shared" si="29"/>
        <v>0</v>
      </c>
      <c r="J227" s="17">
        <f>E227 * F227 * 94162.160624</f>
        <v>94162.160623999996</v>
      </c>
      <c r="K227" s="17">
        <f>E227 * F227 * 98306.255303</f>
        <v>98306.255302999998</v>
      </c>
      <c r="L227" s="24">
        <f t="shared" si="28"/>
        <v>7408.3079976700001</v>
      </c>
      <c r="M227" s="18">
        <f>SUM(G227:K227)</f>
        <v>740830.79976700002</v>
      </c>
    </row>
    <row r="228" spans="1:13" ht="25.5">
      <c r="A228" s="12">
        <v>225</v>
      </c>
      <c r="B228" s="13" t="s">
        <v>546</v>
      </c>
      <c r="C228" s="14" t="s">
        <v>547</v>
      </c>
      <c r="D228" s="14" t="s">
        <v>548</v>
      </c>
      <c r="E228" s="15">
        <v>1</v>
      </c>
      <c r="F228" s="16">
        <v>1</v>
      </c>
      <c r="G228" s="17">
        <f>E228 * F228 * 11156.702</f>
        <v>11156.701999999999</v>
      </c>
      <c r="H228" s="17">
        <f>E228 * F228 * 2507.72417</f>
        <v>2507.72417</v>
      </c>
      <c r="I228" s="17">
        <f t="shared" si="29"/>
        <v>0</v>
      </c>
      <c r="J228" s="17">
        <f>E228 * F228 * 11179.015404</f>
        <v>11179.015404</v>
      </c>
      <c r="K228" s="17">
        <f>E228 * F228 * 3801.046561</f>
        <v>3801.0465610000001</v>
      </c>
      <c r="L228" s="24">
        <f t="shared" si="28"/>
        <v>286.44488134999995</v>
      </c>
      <c r="M228" s="18">
        <f>SUM(G228:K228)</f>
        <v>28644.488134999996</v>
      </c>
    </row>
    <row r="229" spans="1:13" ht="25.5">
      <c r="A229" s="12">
        <v>226</v>
      </c>
      <c r="B229" s="13" t="s">
        <v>549</v>
      </c>
      <c r="C229" s="14" t="s">
        <v>550</v>
      </c>
      <c r="D229" s="14" t="s">
        <v>548</v>
      </c>
      <c r="E229" s="15">
        <v>1</v>
      </c>
      <c r="F229" s="16">
        <v>1</v>
      </c>
      <c r="G229" s="17">
        <f>E229 * F229 * 12611.924</f>
        <v>12611.924000000001</v>
      </c>
      <c r="H229" s="17">
        <f>E229 * F229 * 2639.35322</f>
        <v>2639.35322</v>
      </c>
      <c r="I229" s="17">
        <f t="shared" si="29"/>
        <v>0</v>
      </c>
      <c r="J229" s="17">
        <f>E229 * F229 * 12637.1478479999</f>
        <v>12637.1478479999</v>
      </c>
      <c r="K229" s="17">
        <f>E229 * F229 * 4266.929035</f>
        <v>4266.9290350000001</v>
      </c>
      <c r="L229" s="24">
        <f t="shared" si="28"/>
        <v>321.55354102999905</v>
      </c>
      <c r="M229" s="18">
        <f>SUM(G229:K229)</f>
        <v>32155.354102999903</v>
      </c>
    </row>
    <row r="230" spans="1:13" ht="25.5">
      <c r="A230" s="12">
        <v>227</v>
      </c>
      <c r="B230" s="13" t="s">
        <v>551</v>
      </c>
      <c r="C230" s="14" t="s">
        <v>552</v>
      </c>
      <c r="D230" s="14" t="s">
        <v>548</v>
      </c>
      <c r="E230" s="15">
        <v>1</v>
      </c>
      <c r="F230" s="16">
        <v>1</v>
      </c>
      <c r="G230" s="17">
        <f>E230 * F230 * 14067.146</f>
        <v>14067.146000000001</v>
      </c>
      <c r="H230" s="17">
        <f>E230 * F230 * 3971.451236</f>
        <v>3971.4512359999999</v>
      </c>
      <c r="I230" s="17">
        <f t="shared" si="29"/>
        <v>0</v>
      </c>
      <c r="J230" s="17">
        <f>E230 * F230 * 14095.280292</f>
        <v>14095.280291999999</v>
      </c>
      <c r="K230" s="17">
        <f>E230 * F230 * 4916.48326099999</f>
        <v>4916.4832609999903</v>
      </c>
      <c r="L230" s="24">
        <f t="shared" si="28"/>
        <v>370.5036078899999</v>
      </c>
      <c r="M230" s="18">
        <f>SUM(G230:K230)</f>
        <v>37050.360788999991</v>
      </c>
    </row>
    <row r="231" spans="1:13" ht="25.5">
      <c r="A231" s="12">
        <v>228</v>
      </c>
      <c r="B231" s="13" t="s">
        <v>553</v>
      </c>
      <c r="C231" s="14" t="s">
        <v>554</v>
      </c>
      <c r="D231" s="14" t="s">
        <v>548</v>
      </c>
      <c r="E231" s="15">
        <v>1</v>
      </c>
      <c r="F231" s="16">
        <v>1</v>
      </c>
      <c r="G231" s="17">
        <f>E231 * F231 * 15522.368</f>
        <v>15522.368</v>
      </c>
      <c r="H231" s="17">
        <f>E231 * F231 * 4224.111137</f>
        <v>4224.1111369999999</v>
      </c>
      <c r="I231" s="17">
        <f t="shared" si="29"/>
        <v>0</v>
      </c>
      <c r="J231" s="17">
        <f>E231 * F231 * 15553.412736</f>
        <v>15553.412736</v>
      </c>
      <c r="K231" s="17">
        <f>E231 * F231 * 5400.883457</f>
        <v>5400.8834569999999</v>
      </c>
      <c r="L231" s="24">
        <f t="shared" si="28"/>
        <v>407.00775330000005</v>
      </c>
      <c r="M231" s="18">
        <f>SUM(G231:K231)</f>
        <v>40700.775330000004</v>
      </c>
    </row>
    <row r="232" spans="1:13" ht="25.5">
      <c r="A232" s="12">
        <v>229</v>
      </c>
      <c r="B232" s="13" t="s">
        <v>555</v>
      </c>
      <c r="C232" s="14" t="s">
        <v>556</v>
      </c>
      <c r="D232" s="14" t="s">
        <v>155</v>
      </c>
      <c r="E232" s="15">
        <v>1</v>
      </c>
      <c r="F232" s="16">
        <v>1</v>
      </c>
      <c r="G232" s="17">
        <f>E232 * F232 * 2449.6237</f>
        <v>2449.6237000000001</v>
      </c>
      <c r="H232" s="17">
        <f>E232 * F232 * 1090.29342</f>
        <v>1090.29342</v>
      </c>
      <c r="I232" s="17">
        <f t="shared" si="29"/>
        <v>0</v>
      </c>
      <c r="J232" s="17">
        <f>E232 * F232 * 2454.522947</f>
        <v>2454.5229469999999</v>
      </c>
      <c r="K232" s="17">
        <f>E232 * F232 * 917.14933</f>
        <v>917.14932999999996</v>
      </c>
      <c r="L232" s="24">
        <f t="shared" si="28"/>
        <v>69.115893970000002</v>
      </c>
      <c r="M232" s="18">
        <f>SUM(G232:K232)</f>
        <v>6911.5893969999997</v>
      </c>
    </row>
    <row r="233" spans="1:13" ht="25.5">
      <c r="A233" s="12">
        <v>230</v>
      </c>
      <c r="B233" s="13" t="s">
        <v>557</v>
      </c>
      <c r="C233" s="14" t="s">
        <v>558</v>
      </c>
      <c r="D233" s="14" t="s">
        <v>559</v>
      </c>
      <c r="E233" s="15">
        <v>1</v>
      </c>
      <c r="F233" s="16">
        <v>1</v>
      </c>
      <c r="G233" s="17">
        <f>E233 * F233 * 7518.647</f>
        <v>7518.6469999999999</v>
      </c>
      <c r="H233" s="17">
        <f>E233 * F233 * 76485.414</f>
        <v>76485.414000000004</v>
      </c>
      <c r="I233" s="17">
        <f t="shared" si="29"/>
        <v>0</v>
      </c>
      <c r="J233" s="17">
        <f>E233 * F233 * 7533.684294</f>
        <v>7533.6842939999997</v>
      </c>
      <c r="K233" s="17">
        <f>E233 * F233 * 14005.27503</f>
        <v>14005.275030000001</v>
      </c>
      <c r="L233" s="24">
        <f t="shared" si="28"/>
        <v>1055.4302032400001</v>
      </c>
      <c r="M233" s="18">
        <f>SUM(G233:K233)</f>
        <v>105543.02032400001</v>
      </c>
    </row>
    <row r="234" spans="1:13">
      <c r="A234" s="12">
        <v>231</v>
      </c>
      <c r="B234" s="13" t="s">
        <v>560</v>
      </c>
      <c r="C234" s="14" t="s">
        <v>561</v>
      </c>
      <c r="D234" s="14" t="s">
        <v>562</v>
      </c>
      <c r="E234" s="15">
        <v>1</v>
      </c>
      <c r="F234" s="16">
        <v>1</v>
      </c>
      <c r="G234" s="17">
        <f>E234 * F234 * 16977.59</f>
        <v>16977.59</v>
      </c>
      <c r="H234" s="17">
        <f>E234 * F234 * 210505.487964</f>
        <v>210505.487964</v>
      </c>
      <c r="I234" s="17">
        <f t="shared" si="29"/>
        <v>0</v>
      </c>
      <c r="J234" s="17">
        <f>E234 * F234 * 17011.54518</f>
        <v>17011.545180000001</v>
      </c>
      <c r="K234" s="17">
        <f>E234 * F234 * 37407.677341</f>
        <v>37407.677341000002</v>
      </c>
      <c r="L234" s="24">
        <f t="shared" si="28"/>
        <v>2819.0230048500002</v>
      </c>
      <c r="M234" s="18">
        <f>SUM(G234:K234)</f>
        <v>281902.30048500001</v>
      </c>
    </row>
    <row r="235" spans="1:13">
      <c r="A235" s="12">
        <v>232</v>
      </c>
      <c r="B235" s="13" t="s">
        <v>563</v>
      </c>
      <c r="C235" s="14" t="s">
        <v>564</v>
      </c>
      <c r="D235" s="14" t="s">
        <v>562</v>
      </c>
      <c r="E235" s="15">
        <v>1</v>
      </c>
      <c r="F235" s="16">
        <v>1</v>
      </c>
      <c r="G235" s="17">
        <f>E235 * F235 * 21828.33</f>
        <v>21828.33</v>
      </c>
      <c r="H235" s="17">
        <f>E235 * F235 * 281739.887964</f>
        <v>281739.88796399999</v>
      </c>
      <c r="I235" s="17">
        <f t="shared" si="29"/>
        <v>0</v>
      </c>
      <c r="J235" s="17">
        <f>E235 * F235 * 21871.98666</f>
        <v>21871.986659999999</v>
      </c>
      <c r="K235" s="17">
        <f>E235 * F235 * 49792.351308</f>
        <v>49792.351307999998</v>
      </c>
      <c r="L235" s="24">
        <f t="shared" si="28"/>
        <v>3752.3255593199997</v>
      </c>
      <c r="M235" s="18">
        <f>SUM(G235:K235)</f>
        <v>375232.55593199999</v>
      </c>
    </row>
    <row r="236" spans="1:13" ht="25.5">
      <c r="A236" s="12">
        <v>233</v>
      </c>
      <c r="B236" s="13" t="s">
        <v>565</v>
      </c>
      <c r="C236" s="14" t="s">
        <v>566</v>
      </c>
      <c r="D236" s="14" t="s">
        <v>567</v>
      </c>
      <c r="E236" s="15">
        <v>1</v>
      </c>
      <c r="F236" s="16">
        <v>1</v>
      </c>
      <c r="G236" s="17">
        <f>E236 * F236 * 12854.461</f>
        <v>12854.460999999999</v>
      </c>
      <c r="H236" s="17">
        <f>E236 * F236 * 5811.666797</f>
        <v>5811.6667969999999</v>
      </c>
      <c r="I236" s="17">
        <f t="shared" si="29"/>
        <v>0</v>
      </c>
      <c r="J236" s="17">
        <f>E236 * F236 * 12880.169922</f>
        <v>12880.169921999999</v>
      </c>
      <c r="K236" s="17">
        <f>E236 * F236 * 4826.583551</f>
        <v>4826.5835509999997</v>
      </c>
      <c r="L236" s="24">
        <f t="shared" si="28"/>
        <v>363.72881269999999</v>
      </c>
      <c r="M236" s="18">
        <f>SUM(G236:K236)</f>
        <v>36372.881269999998</v>
      </c>
    </row>
    <row r="237" spans="1:13" ht="38.25">
      <c r="A237" s="12">
        <v>234</v>
      </c>
      <c r="B237" s="13" t="s">
        <v>568</v>
      </c>
      <c r="C237" s="14" t="s">
        <v>569</v>
      </c>
      <c r="D237" s="14" t="s">
        <v>570</v>
      </c>
      <c r="E237" s="15">
        <v>1</v>
      </c>
      <c r="F237" s="16">
        <v>1</v>
      </c>
      <c r="G237" s="17">
        <f>E237 * F237 * 80.03721</f>
        <v>80.037210000000002</v>
      </c>
      <c r="H237" s="17">
        <f>E237 * F237 * 0</f>
        <v>0</v>
      </c>
      <c r="I237" s="17">
        <f t="shared" si="29"/>
        <v>0</v>
      </c>
      <c r="J237" s="17">
        <f>E237 * F237 * 80.197284</f>
        <v>80.197283999999996</v>
      </c>
      <c r="K237" s="17">
        <f>E237 * F237 * 24.515877</f>
        <v>24.515877</v>
      </c>
      <c r="L237" s="24">
        <f>M237/E237/F237</f>
        <v>184.75037099999997</v>
      </c>
      <c r="M237" s="18">
        <f>SUM(G237:K237)</f>
        <v>184.75037099999997</v>
      </c>
    </row>
    <row r="238" spans="1:13" ht="38.25">
      <c r="A238" s="12">
        <v>235</v>
      </c>
      <c r="B238" s="13" t="s">
        <v>571</v>
      </c>
      <c r="C238" s="14" t="s">
        <v>572</v>
      </c>
      <c r="D238" s="14" t="s">
        <v>570</v>
      </c>
      <c r="E238" s="15">
        <v>1</v>
      </c>
      <c r="F238" s="16">
        <v>1</v>
      </c>
      <c r="G238" s="17">
        <f>E238 * F238 * 104.29091</f>
        <v>104.29091</v>
      </c>
      <c r="H238" s="17">
        <f>E238 * F238 * 0</f>
        <v>0</v>
      </c>
      <c r="I238" s="17">
        <f t="shared" si="29"/>
        <v>0</v>
      </c>
      <c r="J238" s="17">
        <f>E238 * F238 * 104.499492</f>
        <v>104.499492</v>
      </c>
      <c r="K238" s="17">
        <f>E238 * F238 * 31.944931</f>
        <v>31.944931</v>
      </c>
      <c r="L238" s="24">
        <f t="shared" ref="L238:L239" si="30">M238/E238/F238</f>
        <v>240.735333</v>
      </c>
      <c r="M238" s="18">
        <f>SUM(G238:K238)</f>
        <v>240.735333</v>
      </c>
    </row>
    <row r="239" spans="1:13" ht="38.25">
      <c r="A239" s="12">
        <v>236</v>
      </c>
      <c r="B239" s="13" t="s">
        <v>573</v>
      </c>
      <c r="C239" s="14" t="s">
        <v>574</v>
      </c>
      <c r="D239" s="14" t="s">
        <v>570</v>
      </c>
      <c r="E239" s="15">
        <v>1</v>
      </c>
      <c r="F239" s="16">
        <v>1</v>
      </c>
      <c r="G239" s="17">
        <f>E239 * F239 * 126.11924</f>
        <v>126.11924</v>
      </c>
      <c r="H239" s="17">
        <f>E239 * F239 * 0</f>
        <v>0</v>
      </c>
      <c r="I239" s="17">
        <f t="shared" si="29"/>
        <v>0</v>
      </c>
      <c r="J239" s="17">
        <f>E239 * F239 * 126.371478</f>
        <v>126.371478</v>
      </c>
      <c r="K239" s="17">
        <f>E239 * F239 * 38.63108</f>
        <v>38.631079999999997</v>
      </c>
      <c r="L239" s="24">
        <f t="shared" si="30"/>
        <v>291.12179800000001</v>
      </c>
      <c r="M239" s="18">
        <f>SUM(G239:K239)</f>
        <v>291.12179800000001</v>
      </c>
    </row>
    <row r="240" spans="1:13" ht="25.5">
      <c r="A240" s="12">
        <v>237</v>
      </c>
      <c r="B240" s="13" t="s">
        <v>575</v>
      </c>
      <c r="C240" s="14" t="s">
        <v>576</v>
      </c>
      <c r="D240" s="14" t="s">
        <v>513</v>
      </c>
      <c r="E240" s="15">
        <v>1</v>
      </c>
      <c r="F240" s="16">
        <v>1</v>
      </c>
      <c r="G240" s="17">
        <f>E240 * F240 * 14441.5548249999</f>
        <v>14441.554824999999</v>
      </c>
      <c r="H240" s="17">
        <f>E240 * F240 * 2308.281762</f>
        <v>2308.2817620000001</v>
      </c>
      <c r="I240" s="17">
        <f t="shared" si="29"/>
        <v>0</v>
      </c>
      <c r="J240" s="17">
        <f>E240 * F240 * 14470.437935</f>
        <v>14470.437935</v>
      </c>
      <c r="K240" s="17">
        <f>E240 * F240 * 4776.702002</f>
        <v>4776.702002</v>
      </c>
      <c r="L240" s="24">
        <f t="shared" ref="L240:L244" si="31">M240/E240/F240/100</f>
        <v>359.96976523999996</v>
      </c>
      <c r="M240" s="18">
        <f>SUM(G240:K240)</f>
        <v>35996.976523999998</v>
      </c>
    </row>
    <row r="241" spans="1:13" ht="25.5">
      <c r="A241" s="12">
        <v>238</v>
      </c>
      <c r="B241" s="13" t="s">
        <v>577</v>
      </c>
      <c r="C241" s="14" t="s">
        <v>578</v>
      </c>
      <c r="D241" s="14" t="s">
        <v>513</v>
      </c>
      <c r="E241" s="15">
        <v>1</v>
      </c>
      <c r="F241" s="16">
        <v>1</v>
      </c>
      <c r="G241" s="17">
        <f>E241 * F241 * 18549.63058</f>
        <v>18549.630580000001</v>
      </c>
      <c r="H241" s="17">
        <f>E241 * F241 * 3280.805804</f>
        <v>3280.8058040000001</v>
      </c>
      <c r="I241" s="17">
        <f t="shared" si="29"/>
        <v>0</v>
      </c>
      <c r="J241" s="17">
        <f>E241 * F241 * 18586.729841</f>
        <v>18586.729841</v>
      </c>
      <c r="K241" s="17">
        <f>E241 * F241 * 6183.826432</f>
        <v>6183.8264319999998</v>
      </c>
      <c r="L241" s="24">
        <f t="shared" si="31"/>
        <v>466.00992657</v>
      </c>
      <c r="M241" s="18">
        <f>SUM(G241:K241)</f>
        <v>46600.992657000003</v>
      </c>
    </row>
    <row r="242" spans="1:13" ht="25.5">
      <c r="A242" s="12">
        <v>239</v>
      </c>
      <c r="B242" s="13" t="s">
        <v>579</v>
      </c>
      <c r="C242" s="14" t="s">
        <v>580</v>
      </c>
      <c r="D242" s="14" t="s">
        <v>513</v>
      </c>
      <c r="E242" s="15">
        <v>1</v>
      </c>
      <c r="F242" s="16">
        <v>1</v>
      </c>
      <c r="G242" s="17">
        <f>E242 * F242 * 19607.0101</f>
        <v>19607.0101</v>
      </c>
      <c r="H242" s="17">
        <f>E242 * F242 * 2500.763102</f>
        <v>2500.7631019999999</v>
      </c>
      <c r="I242" s="17">
        <f t="shared" si="29"/>
        <v>0</v>
      </c>
      <c r="J242" s="17">
        <f>E242 * F242 * 19646.22412</f>
        <v>19646.224119999999</v>
      </c>
      <c r="K242" s="17">
        <f>E242 * F242 * 6388.361591</f>
        <v>6388.3615909999999</v>
      </c>
      <c r="L242" s="24">
        <f t="shared" si="31"/>
        <v>481.42358912999998</v>
      </c>
      <c r="M242" s="18">
        <f>SUM(G242:K242)</f>
        <v>48142.358912999996</v>
      </c>
    </row>
    <row r="243" spans="1:13" ht="25.5">
      <c r="A243" s="12">
        <v>240</v>
      </c>
      <c r="B243" s="13" t="s">
        <v>581</v>
      </c>
      <c r="C243" s="14" t="s">
        <v>582</v>
      </c>
      <c r="D243" s="14" t="s">
        <v>513</v>
      </c>
      <c r="E243" s="15">
        <v>1</v>
      </c>
      <c r="F243" s="16">
        <v>1</v>
      </c>
      <c r="G243" s="17">
        <f>E243 * F243 * 23958.12388</f>
        <v>23958.123879999999</v>
      </c>
      <c r="H243" s="17">
        <f>E243 * F243 * 3463.169804</f>
        <v>3463.1698040000001</v>
      </c>
      <c r="I243" s="17">
        <f t="shared" si="29"/>
        <v>0</v>
      </c>
      <c r="J243" s="17">
        <f>E243 * F243 * 24006.040128</f>
        <v>24006.040128000001</v>
      </c>
      <c r="K243" s="17">
        <f>E243 * F243 * 7868.382073</f>
        <v>7868.3820729999998</v>
      </c>
      <c r="L243" s="24">
        <f t="shared" si="31"/>
        <v>592.95715884999993</v>
      </c>
      <c r="M243" s="18">
        <f>SUM(G243:K243)</f>
        <v>59295.715884999998</v>
      </c>
    </row>
    <row r="244" spans="1:13" ht="25.5">
      <c r="A244" s="12">
        <v>241</v>
      </c>
      <c r="B244" s="13" t="s">
        <v>583</v>
      </c>
      <c r="C244" s="14" t="s">
        <v>584</v>
      </c>
      <c r="D244" s="14" t="s">
        <v>585</v>
      </c>
      <c r="E244" s="15">
        <v>1</v>
      </c>
      <c r="F244" s="16">
        <v>1</v>
      </c>
      <c r="G244" s="17">
        <f>E244 * F244 * 106.71628</f>
        <v>106.71628</v>
      </c>
      <c r="H244" s="17">
        <f>E244 * F244 * 238.644</f>
        <v>238.64400000000001</v>
      </c>
      <c r="I244" s="17">
        <f t="shared" si="29"/>
        <v>0</v>
      </c>
      <c r="J244" s="17">
        <f>E244 * F244 * 106.929712999999</f>
        <v>106.929712999999</v>
      </c>
      <c r="K244" s="17">
        <f>E244 * F244 * 69.200369</f>
        <v>69.200368999999995</v>
      </c>
      <c r="L244" s="24">
        <f>M244/E244/F244</f>
        <v>521.49036199999898</v>
      </c>
      <c r="M244" s="18">
        <f>SUM(G244:K244)</f>
        <v>521.49036199999898</v>
      </c>
    </row>
    <row r="245" spans="1:13" ht="25.5">
      <c r="A245" s="12">
        <v>242</v>
      </c>
      <c r="B245" s="13" t="s">
        <v>586</v>
      </c>
      <c r="C245" s="14" t="s">
        <v>587</v>
      </c>
      <c r="D245" s="14" t="s">
        <v>588</v>
      </c>
      <c r="E245" s="15">
        <v>1</v>
      </c>
      <c r="F245" s="16">
        <v>1</v>
      </c>
      <c r="G245" s="17">
        <f>E245 * F245 * 82.6694</f>
        <v>82.669399999999996</v>
      </c>
      <c r="H245" s="17">
        <f>E245 * F245 * 1990.956</f>
        <v>1990.9559999999999</v>
      </c>
      <c r="I245" s="17">
        <f t="shared" ref="I245:I276" si="32">E245 * F245 * 0</f>
        <v>0</v>
      </c>
      <c r="J245" s="17">
        <f>E245 * F245 * 82.834739</f>
        <v>82.834738999999999</v>
      </c>
      <c r="K245" s="17">
        <f>E245 * F245 * 329.938402</f>
        <v>329.938402</v>
      </c>
      <c r="L245" s="24">
        <f t="shared" ref="L245:L265" si="33">M245/E245/F245</f>
        <v>2486.3985409999996</v>
      </c>
      <c r="M245" s="18">
        <f>SUM(G245:K245)</f>
        <v>2486.3985409999996</v>
      </c>
    </row>
    <row r="246" spans="1:13">
      <c r="A246" s="12">
        <v>243</v>
      </c>
      <c r="B246" s="13" t="s">
        <v>589</v>
      </c>
      <c r="C246" s="14" t="s">
        <v>590</v>
      </c>
      <c r="D246" s="14" t="s">
        <v>591</v>
      </c>
      <c r="E246" s="15">
        <v>1</v>
      </c>
      <c r="F246" s="16">
        <v>1</v>
      </c>
      <c r="G246" s="17">
        <f>E246 * F246 * 60.63425</f>
        <v>60.634250000000002</v>
      </c>
      <c r="H246" s="17">
        <f>E246 * F246 * 3900.012</f>
        <v>3900.0120000000002</v>
      </c>
      <c r="I246" s="17">
        <f t="shared" si="32"/>
        <v>0</v>
      </c>
      <c r="J246" s="17">
        <f>E246 * F246 * 60.755519</f>
        <v>60.755519</v>
      </c>
      <c r="K246" s="17">
        <f>E246 * F246 * 615.27447</f>
        <v>615.27446999999995</v>
      </c>
      <c r="L246" s="24">
        <f t="shared" si="33"/>
        <v>4636.6762390000004</v>
      </c>
      <c r="M246" s="18">
        <f>SUM(G246:K246)</f>
        <v>4636.6762390000004</v>
      </c>
    </row>
    <row r="247" spans="1:13">
      <c r="A247" s="12">
        <v>244</v>
      </c>
      <c r="B247" s="13" t="s">
        <v>592</v>
      </c>
      <c r="C247" s="14" t="s">
        <v>593</v>
      </c>
      <c r="D247" s="14" t="s">
        <v>594</v>
      </c>
      <c r="E247" s="15">
        <v>1</v>
      </c>
      <c r="F247" s="16">
        <v>1</v>
      </c>
      <c r="G247" s="17">
        <f>E247 * F247 * 19.40296</f>
        <v>19.40296</v>
      </c>
      <c r="H247" s="17">
        <f>E247 * F247 * 2849.232</f>
        <v>2849.232</v>
      </c>
      <c r="I247" s="17">
        <f t="shared" si="32"/>
        <v>0</v>
      </c>
      <c r="J247" s="17">
        <f>E247 * F247 * 19.441766</f>
        <v>19.441766000000001</v>
      </c>
      <c r="K247" s="17">
        <f>E247 * F247 * 441.875739</f>
        <v>441.87573900000001</v>
      </c>
      <c r="L247" s="24">
        <f t="shared" si="33"/>
        <v>3329.9524649999998</v>
      </c>
      <c r="M247" s="18">
        <f>SUM(G247:K247)</f>
        <v>3329.9524649999998</v>
      </c>
    </row>
    <row r="248" spans="1:13">
      <c r="A248" s="12">
        <v>245</v>
      </c>
      <c r="B248" s="13" t="s">
        <v>595</v>
      </c>
      <c r="C248" s="14" t="s">
        <v>596</v>
      </c>
      <c r="D248" s="14" t="s">
        <v>597</v>
      </c>
      <c r="E248" s="15">
        <v>1</v>
      </c>
      <c r="F248" s="16">
        <v>1</v>
      </c>
      <c r="G248" s="17">
        <f>E248 * F248 * 106.71628</f>
        <v>106.71628</v>
      </c>
      <c r="H248" s="17">
        <f>E248 * F248 * 183.9</f>
        <v>183.9</v>
      </c>
      <c r="I248" s="17">
        <f t="shared" si="32"/>
        <v>0</v>
      </c>
      <c r="J248" s="17">
        <f>E248 * F248 * 106.929712999999</f>
        <v>106.929712999999</v>
      </c>
      <c r="K248" s="17">
        <f>E248 * F248 * 60.824537</f>
        <v>60.824536999999999</v>
      </c>
      <c r="L248" s="24">
        <f t="shared" si="33"/>
        <v>458.37052999999906</v>
      </c>
      <c r="M248" s="18">
        <f>SUM(G248:K248)</f>
        <v>458.37052999999906</v>
      </c>
    </row>
    <row r="249" spans="1:13">
      <c r="A249" s="12">
        <v>246</v>
      </c>
      <c r="B249" s="13" t="s">
        <v>598</v>
      </c>
      <c r="C249" s="14" t="s">
        <v>599</v>
      </c>
      <c r="D249" s="14" t="s">
        <v>600</v>
      </c>
      <c r="E249" s="15">
        <v>1</v>
      </c>
      <c r="F249" s="16">
        <v>1</v>
      </c>
      <c r="G249" s="17">
        <f>E249 * F249 * 169.7759</f>
        <v>169.77590000000001</v>
      </c>
      <c r="H249" s="17">
        <f>E249 * F249 * 4454.712</f>
        <v>4454.7120000000004</v>
      </c>
      <c r="I249" s="17">
        <f t="shared" si="32"/>
        <v>0</v>
      </c>
      <c r="J249" s="17">
        <f>E249 * F249 * 170.115452</f>
        <v>170.115452</v>
      </c>
      <c r="K249" s="17">
        <f>E249 * F249 * 733.574313</f>
        <v>733.57431299999996</v>
      </c>
      <c r="L249" s="24">
        <f t="shared" si="33"/>
        <v>5528.1776650000002</v>
      </c>
      <c r="M249" s="18">
        <f>SUM(G249:K249)</f>
        <v>5528.1776650000002</v>
      </c>
    </row>
    <row r="250" spans="1:13">
      <c r="A250" s="12">
        <v>247</v>
      </c>
      <c r="B250" s="13" t="s">
        <v>601</v>
      </c>
      <c r="C250" s="14" t="s">
        <v>602</v>
      </c>
      <c r="D250" s="14" t="s">
        <v>600</v>
      </c>
      <c r="E250" s="15">
        <v>1</v>
      </c>
      <c r="F250" s="16">
        <v>1</v>
      </c>
      <c r="G250" s="17">
        <f>E250 * F250 * 70.9709</f>
        <v>70.9709</v>
      </c>
      <c r="H250" s="17">
        <f>E250 * F250 * 0</f>
        <v>0</v>
      </c>
      <c r="I250" s="17">
        <f t="shared" si="32"/>
        <v>0</v>
      </c>
      <c r="J250" s="17">
        <f>E250 * F250 * 71.112842</f>
        <v>71.112842000000001</v>
      </c>
      <c r="K250" s="17">
        <f>E250 * F250 * 21.738812</f>
        <v>21.738811999999999</v>
      </c>
      <c r="L250" s="24">
        <f t="shared" si="33"/>
        <v>163.822554</v>
      </c>
      <c r="M250" s="18">
        <f>SUM(G250:K250)</f>
        <v>163.822554</v>
      </c>
    </row>
    <row r="251" spans="1:13">
      <c r="A251" s="12">
        <v>248</v>
      </c>
      <c r="B251" s="13" t="s">
        <v>603</v>
      </c>
      <c r="C251" s="14" t="s">
        <v>604</v>
      </c>
      <c r="D251" s="14" t="s">
        <v>605</v>
      </c>
      <c r="E251" s="15">
        <v>1</v>
      </c>
      <c r="F251" s="16">
        <v>1</v>
      </c>
      <c r="G251" s="17">
        <f>E251 * F251 * 237.0896</f>
        <v>237.08959999999999</v>
      </c>
      <c r="H251" s="17">
        <f>E251 * F251 * 17138.704496</f>
        <v>17138.704495999998</v>
      </c>
      <c r="I251" s="17">
        <f t="shared" si="32"/>
        <v>0</v>
      </c>
      <c r="J251" s="17">
        <f>E251 * F251 * 237.563779</f>
        <v>237.56377900000001</v>
      </c>
      <c r="K251" s="17">
        <f>E251 * F251 * 2694.843755</f>
        <v>2694.8437549999999</v>
      </c>
      <c r="L251" s="24">
        <f t="shared" si="33"/>
        <v>20308.201629999996</v>
      </c>
      <c r="M251" s="18">
        <f>SUM(G251:K251)</f>
        <v>20308.201629999996</v>
      </c>
    </row>
    <row r="252" spans="1:13">
      <c r="A252" s="12">
        <v>249</v>
      </c>
      <c r="B252" s="13" t="s">
        <v>606</v>
      </c>
      <c r="C252" s="14" t="s">
        <v>607</v>
      </c>
      <c r="D252" s="14" t="s">
        <v>608</v>
      </c>
      <c r="E252" s="15">
        <v>1</v>
      </c>
      <c r="F252" s="16">
        <v>1</v>
      </c>
      <c r="G252" s="17">
        <f>E252 * F252 * 412.3129</f>
        <v>412.31290000000001</v>
      </c>
      <c r="H252" s="17">
        <f>E252 * F252 * 244.462081</f>
        <v>244.46208100000001</v>
      </c>
      <c r="I252" s="17">
        <f t="shared" si="32"/>
        <v>0</v>
      </c>
      <c r="J252" s="17">
        <f>E252 * F252 * 413.137526</f>
        <v>413.13752599999998</v>
      </c>
      <c r="K252" s="17">
        <f>E252 * F252 * 163.696614</f>
        <v>163.69661400000001</v>
      </c>
      <c r="L252" s="24">
        <f t="shared" si="33"/>
        <v>1233.609121</v>
      </c>
      <c r="M252" s="18">
        <f>SUM(G252:K252)</f>
        <v>1233.609121</v>
      </c>
    </row>
    <row r="253" spans="1:13" ht="25.5">
      <c r="A253" s="12">
        <v>250</v>
      </c>
      <c r="B253" s="13" t="s">
        <v>609</v>
      </c>
      <c r="C253" s="14" t="s">
        <v>610</v>
      </c>
      <c r="D253" s="14" t="s">
        <v>611</v>
      </c>
      <c r="E253" s="15">
        <v>1</v>
      </c>
      <c r="F253" s="16">
        <v>1</v>
      </c>
      <c r="G253" s="17">
        <f>E253 * F253 * 218.2833</f>
        <v>218.2833</v>
      </c>
      <c r="H253" s="17">
        <f>E253 * F253 * 4.836336</f>
        <v>4.8363360000000002</v>
      </c>
      <c r="I253" s="17">
        <f t="shared" si="32"/>
        <v>0</v>
      </c>
      <c r="J253" s="17">
        <f>E253 * F253 * 218.719867</f>
        <v>218.71986699999999</v>
      </c>
      <c r="K253" s="17">
        <f>E253 * F253 * 67.601444</f>
        <v>67.601444000000001</v>
      </c>
      <c r="L253" s="24">
        <f t="shared" si="33"/>
        <v>509.44094699999999</v>
      </c>
      <c r="M253" s="18">
        <f>SUM(G253:K253)</f>
        <v>509.44094699999999</v>
      </c>
    </row>
    <row r="254" spans="1:13" ht="25.5">
      <c r="A254" s="12">
        <v>251</v>
      </c>
      <c r="B254" s="13" t="s">
        <v>612</v>
      </c>
      <c r="C254" s="14" t="s">
        <v>613</v>
      </c>
      <c r="D254" s="14" t="s">
        <v>611</v>
      </c>
      <c r="E254" s="15">
        <v>1</v>
      </c>
      <c r="F254" s="16">
        <v>1</v>
      </c>
      <c r="G254" s="17">
        <f>E254 * F254 * 463.24567</f>
        <v>463.24567000000002</v>
      </c>
      <c r="H254" s="17">
        <f>E254 * F254 * 6325.116546</f>
        <v>6325.1165460000002</v>
      </c>
      <c r="I254" s="17">
        <f t="shared" si="32"/>
        <v>0</v>
      </c>
      <c r="J254" s="17">
        <f>E254 * F254 * 464.172161</f>
        <v>464.17216100000002</v>
      </c>
      <c r="K254" s="17">
        <f>E254 * F254 * 1109.637759</f>
        <v>1109.637759</v>
      </c>
      <c r="L254" s="24">
        <f t="shared" si="33"/>
        <v>8362.172136000001</v>
      </c>
      <c r="M254" s="18">
        <f>SUM(G254:K254)</f>
        <v>8362.172136000001</v>
      </c>
    </row>
    <row r="255" spans="1:13">
      <c r="A255" s="12">
        <v>252</v>
      </c>
      <c r="B255" s="13" t="s">
        <v>614</v>
      </c>
      <c r="C255" s="14" t="s">
        <v>615</v>
      </c>
      <c r="D255" s="14" t="s">
        <v>616</v>
      </c>
      <c r="E255" s="15">
        <v>1</v>
      </c>
      <c r="F255" s="16">
        <v>1</v>
      </c>
      <c r="G255" s="17">
        <f>E255 * F255 * 48507.4</f>
        <v>48507.4</v>
      </c>
      <c r="H255" s="17">
        <f>E255 * F255 * 148850.53542</f>
        <v>148850.53542</v>
      </c>
      <c r="I255" s="17">
        <f t="shared" si="32"/>
        <v>0</v>
      </c>
      <c r="J255" s="17">
        <f>E255 * F255 * 48604.4148</f>
        <v>48604.414799999999</v>
      </c>
      <c r="K255" s="17">
        <f>E255 * F255 * 37632.239583</f>
        <v>37632.239583000002</v>
      </c>
      <c r="L255" s="24">
        <f>M255/E255/F255/1000</f>
        <v>283.59458980299996</v>
      </c>
      <c r="M255" s="18">
        <f>SUM(G255:K255)</f>
        <v>283594.58980299998</v>
      </c>
    </row>
    <row r="256" spans="1:13">
      <c r="A256" s="12">
        <v>253</v>
      </c>
      <c r="B256" s="13" t="s">
        <v>617</v>
      </c>
      <c r="C256" s="14" t="s">
        <v>618</v>
      </c>
      <c r="D256" s="14" t="s">
        <v>619</v>
      </c>
      <c r="E256" s="15">
        <v>1</v>
      </c>
      <c r="F256" s="16">
        <v>1</v>
      </c>
      <c r="G256" s="17">
        <f>E256 * F256 * 237.0896</f>
        <v>237.08959999999999</v>
      </c>
      <c r="H256" s="17">
        <f>E256 * F256 * 5723.884902</f>
        <v>5723.8849019999998</v>
      </c>
      <c r="I256" s="17">
        <f t="shared" si="32"/>
        <v>0</v>
      </c>
      <c r="J256" s="17">
        <f>E256 * F256 * 237.563779</f>
        <v>237.56377900000001</v>
      </c>
      <c r="K256" s="17">
        <f>E256 * F256 * 948.376357</f>
        <v>948.37635699999998</v>
      </c>
      <c r="L256" s="24">
        <f t="shared" si="33"/>
        <v>7146.9146380000002</v>
      </c>
      <c r="M256" s="18">
        <f>SUM(G256:K256)</f>
        <v>7146.9146380000002</v>
      </c>
    </row>
    <row r="257" spans="1:13">
      <c r="A257" s="12">
        <v>254</v>
      </c>
      <c r="B257" s="13" t="s">
        <v>620</v>
      </c>
      <c r="C257" s="14" t="s">
        <v>621</v>
      </c>
      <c r="D257" s="14" t="s">
        <v>619</v>
      </c>
      <c r="E257" s="15">
        <v>1</v>
      </c>
      <c r="F257" s="16">
        <v>1</v>
      </c>
      <c r="G257" s="17">
        <f>E257 * F257 * 94.3679</f>
        <v>94.367900000000006</v>
      </c>
      <c r="H257" s="17">
        <f>E257 * F257 * 35.49302</f>
        <v>35.493020000000001</v>
      </c>
      <c r="I257" s="17">
        <f t="shared" si="32"/>
        <v>0</v>
      </c>
      <c r="J257" s="17">
        <f>E257 * F257 * 94.556636</f>
        <v>94.556635999999997</v>
      </c>
      <c r="K257" s="17">
        <f>E257 * F257 * 34.335886</f>
        <v>34.335886000000002</v>
      </c>
      <c r="L257" s="24">
        <f t="shared" si="33"/>
        <v>258.75344200000001</v>
      </c>
      <c r="M257" s="18">
        <f>SUM(G257:K257)</f>
        <v>258.75344200000001</v>
      </c>
    </row>
    <row r="258" spans="1:13">
      <c r="A258" s="12">
        <v>255</v>
      </c>
      <c r="B258" s="13" t="s">
        <v>622</v>
      </c>
      <c r="C258" s="14" t="s">
        <v>623</v>
      </c>
      <c r="D258" s="14" t="s">
        <v>624</v>
      </c>
      <c r="E258" s="15">
        <v>1</v>
      </c>
      <c r="F258" s="16">
        <v>1</v>
      </c>
      <c r="G258" s="17">
        <f>E258 * F258 * 1212.685</f>
        <v>1212.6849999999999</v>
      </c>
      <c r="H258" s="17">
        <f>E258 * F258 * 0</f>
        <v>0</v>
      </c>
      <c r="I258" s="17">
        <f t="shared" si="32"/>
        <v>0</v>
      </c>
      <c r="J258" s="17">
        <f>E258 * F258 * 1215.11036999999</f>
        <v>1215.1103699999901</v>
      </c>
      <c r="K258" s="17">
        <f>E258 * F258 * 371.452691</f>
        <v>371.45269100000002</v>
      </c>
      <c r="L258" s="24">
        <f>M258/E258/F258/100</f>
        <v>27.992480609999898</v>
      </c>
      <c r="M258" s="18">
        <f>SUM(G258:K258)</f>
        <v>2799.2480609999898</v>
      </c>
    </row>
    <row r="259" spans="1:13">
      <c r="A259" s="12">
        <v>256</v>
      </c>
      <c r="B259" s="13" t="s">
        <v>625</v>
      </c>
      <c r="C259" s="14" t="s">
        <v>626</v>
      </c>
      <c r="D259" s="14" t="s">
        <v>624</v>
      </c>
      <c r="E259" s="15">
        <v>1</v>
      </c>
      <c r="F259" s="16">
        <v>1</v>
      </c>
      <c r="G259" s="17">
        <f>E259 * F259 * 2910.444</f>
        <v>2910.444</v>
      </c>
      <c r="H259" s="17">
        <f>E259 * F259 * 0</f>
        <v>0</v>
      </c>
      <c r="I259" s="17">
        <f t="shared" si="32"/>
        <v>0</v>
      </c>
      <c r="J259" s="17">
        <f>E259 * F259 * 2916.26488799999</f>
        <v>2916.2648879999902</v>
      </c>
      <c r="K259" s="17">
        <f>E259 * F259 * 891.48646</f>
        <v>891.48645999999997</v>
      </c>
      <c r="L259" s="24">
        <f>M259/E259/F259/100</f>
        <v>67.181953479999905</v>
      </c>
      <c r="M259" s="18">
        <f>SUM(G259:K259)</f>
        <v>6718.1953479999902</v>
      </c>
    </row>
    <row r="260" spans="1:13">
      <c r="A260" s="12">
        <v>257</v>
      </c>
      <c r="B260" s="13" t="s">
        <v>627</v>
      </c>
      <c r="C260" s="14" t="s">
        <v>628</v>
      </c>
      <c r="D260" s="14" t="s">
        <v>629</v>
      </c>
      <c r="E260" s="15">
        <v>1</v>
      </c>
      <c r="F260" s="16">
        <v>1</v>
      </c>
      <c r="G260" s="17">
        <f>E260 * F260 * 46.08203</f>
        <v>46.082030000000003</v>
      </c>
      <c r="H260" s="17">
        <f>E260 * F260 * 61.242</f>
        <v>61.241999999999997</v>
      </c>
      <c r="I260" s="17">
        <f t="shared" si="32"/>
        <v>0</v>
      </c>
      <c r="J260" s="17">
        <f>E260 * F260 * 46.174194</f>
        <v>46.174194</v>
      </c>
      <c r="K260" s="17">
        <f>E260 * F260 * 23.485228</f>
        <v>23.485227999999999</v>
      </c>
      <c r="L260" s="24">
        <f t="shared" si="33"/>
        <v>176.983452</v>
      </c>
      <c r="M260" s="18">
        <f>SUM(G260:K260)</f>
        <v>176.983452</v>
      </c>
    </row>
    <row r="261" spans="1:13" ht="25.5">
      <c r="A261" s="12">
        <v>258</v>
      </c>
      <c r="B261" s="13" t="s">
        <v>630</v>
      </c>
      <c r="C261" s="14" t="s">
        <v>631</v>
      </c>
      <c r="D261" s="14" t="s">
        <v>632</v>
      </c>
      <c r="E261" s="15">
        <v>1</v>
      </c>
      <c r="F261" s="16">
        <v>1</v>
      </c>
      <c r="G261" s="17">
        <f>E261 * F261 * 69.48909</f>
        <v>69.489090000000004</v>
      </c>
      <c r="H261" s="17">
        <f>E261 * F261 * 592.25124</f>
        <v>592.25124000000005</v>
      </c>
      <c r="I261" s="17">
        <f t="shared" si="32"/>
        <v>0</v>
      </c>
      <c r="J261" s="17">
        <f>E261 * F261 * 69.628068</f>
        <v>69.628067999999999</v>
      </c>
      <c r="K261" s="17">
        <f>E261 * F261 * 111.899364999999</f>
        <v>111.89936499999899</v>
      </c>
      <c r="L261" s="24">
        <f t="shared" si="33"/>
        <v>843.26776299999904</v>
      </c>
      <c r="M261" s="18">
        <f>SUM(G261:K261)</f>
        <v>843.26776299999904</v>
      </c>
    </row>
    <row r="262" spans="1:13">
      <c r="A262" s="12">
        <v>259</v>
      </c>
      <c r="B262" s="13" t="s">
        <v>633</v>
      </c>
      <c r="C262" s="14" t="s">
        <v>634</v>
      </c>
      <c r="D262" s="14" t="s">
        <v>632</v>
      </c>
      <c r="E262" s="15">
        <v>1</v>
      </c>
      <c r="F262" s="16">
        <v>1</v>
      </c>
      <c r="G262" s="17">
        <f>E262 * F262 * 127.35767</f>
        <v>127.35767</v>
      </c>
      <c r="H262" s="17">
        <f>E262 * F262 * 965.323104</f>
        <v>965.32310399999994</v>
      </c>
      <c r="I262" s="17">
        <f t="shared" si="32"/>
        <v>0</v>
      </c>
      <c r="J262" s="17">
        <f>E262 * F262 * 127.612384999999</f>
        <v>127.61238499999899</v>
      </c>
      <c r="K262" s="17">
        <f>E262 * F262 * 186.704853</f>
        <v>186.70485300000001</v>
      </c>
      <c r="L262" s="24">
        <f t="shared" si="33"/>
        <v>1406.9980119999989</v>
      </c>
      <c r="M262" s="18">
        <f>SUM(G262:K262)</f>
        <v>1406.9980119999989</v>
      </c>
    </row>
    <row r="263" spans="1:13" ht="25.5">
      <c r="A263" s="12">
        <v>260</v>
      </c>
      <c r="B263" s="13" t="s">
        <v>635</v>
      </c>
      <c r="C263" s="14" t="s">
        <v>636</v>
      </c>
      <c r="D263" s="14" t="s">
        <v>632</v>
      </c>
      <c r="E263" s="15">
        <v>1</v>
      </c>
      <c r="F263" s="16">
        <v>1</v>
      </c>
      <c r="G263" s="17">
        <f>E263 * F263 * 38.80592</f>
        <v>38.80592</v>
      </c>
      <c r="H263" s="17">
        <f>E263 * F263 * 38.592</f>
        <v>38.591999999999999</v>
      </c>
      <c r="I263" s="17">
        <f t="shared" si="32"/>
        <v>0</v>
      </c>
      <c r="J263" s="17">
        <f>E263 * F263 * 38.883532</f>
        <v>38.883532000000002</v>
      </c>
      <c r="K263" s="17">
        <f>E263 * F263 * 17.791062</f>
        <v>17.791062</v>
      </c>
      <c r="L263" s="24">
        <f t="shared" si="33"/>
        <v>134.07251400000001</v>
      </c>
      <c r="M263" s="18">
        <f>SUM(G263:K263)</f>
        <v>134.07251400000001</v>
      </c>
    </row>
    <row r="264" spans="1:13">
      <c r="A264" s="12">
        <v>261</v>
      </c>
      <c r="B264" s="13" t="s">
        <v>637</v>
      </c>
      <c r="C264" s="14" t="s">
        <v>638</v>
      </c>
      <c r="D264" s="14" t="s">
        <v>632</v>
      </c>
      <c r="E264" s="15">
        <v>1</v>
      </c>
      <c r="F264" s="16">
        <v>1</v>
      </c>
      <c r="G264" s="17">
        <f>E264 * F264 * 109.14165</f>
        <v>109.14165</v>
      </c>
      <c r="H264" s="17">
        <f>E264 * F264 * 391.38</f>
        <v>391.38</v>
      </c>
      <c r="I264" s="17">
        <f t="shared" si="32"/>
        <v>0</v>
      </c>
      <c r="J264" s="17">
        <f>E264 * F264 * 109.359932999999</f>
        <v>109.359932999999</v>
      </c>
      <c r="K264" s="17">
        <f>E264 * F264 * 93.311882</f>
        <v>93.311881999999997</v>
      </c>
      <c r="L264" s="24">
        <f t="shared" si="33"/>
        <v>703.19346499999904</v>
      </c>
      <c r="M264" s="18">
        <f>SUM(G264:K264)</f>
        <v>703.19346499999904</v>
      </c>
    </row>
    <row r="265" spans="1:13">
      <c r="A265" s="12">
        <v>262</v>
      </c>
      <c r="B265" s="13" t="s">
        <v>639</v>
      </c>
      <c r="C265" s="14" t="s">
        <v>640</v>
      </c>
      <c r="D265" s="14" t="s">
        <v>641</v>
      </c>
      <c r="E265" s="15">
        <v>1</v>
      </c>
      <c r="F265" s="16">
        <v>1</v>
      </c>
      <c r="G265" s="17">
        <f>E265 * F265 * 23.041015</f>
        <v>23.041015000000002</v>
      </c>
      <c r="H265" s="17">
        <f>E265 * F265 * 12</f>
        <v>12</v>
      </c>
      <c r="I265" s="17">
        <f t="shared" si="32"/>
        <v>0</v>
      </c>
      <c r="J265" s="17">
        <f>E265 * F265 * 23.0870979999999</f>
        <v>23.087097999999902</v>
      </c>
      <c r="K265" s="17">
        <f>E265 * F265 * 8.893601</f>
        <v>8.8936010000000003</v>
      </c>
      <c r="L265" s="24">
        <f t="shared" si="33"/>
        <v>67.021713999999903</v>
      </c>
      <c r="M265" s="18">
        <f>SUM(G265:K265)</f>
        <v>67.021713999999903</v>
      </c>
    </row>
    <row r="266" spans="1:13">
      <c r="A266" s="12">
        <v>263</v>
      </c>
      <c r="B266" s="13" t="s">
        <v>642</v>
      </c>
      <c r="C266" s="14" t="s">
        <v>643</v>
      </c>
      <c r="D266" s="14" t="s">
        <v>644</v>
      </c>
      <c r="E266" s="15">
        <v>1</v>
      </c>
      <c r="F266" s="16">
        <v>1</v>
      </c>
      <c r="G266" s="17">
        <f>E266 * F266 * 3371.2643</f>
        <v>3371.2642999999998</v>
      </c>
      <c r="H266" s="17">
        <f>E266 * F266 * 2112</f>
        <v>2112</v>
      </c>
      <c r="I266" s="17">
        <f t="shared" si="32"/>
        <v>0</v>
      </c>
      <c r="J266" s="17">
        <f>E266 * F266 * 3378.006829</f>
        <v>3378.0068289999999</v>
      </c>
      <c r="K266" s="17">
        <f>E266 * F266 * 1355.774482</f>
        <v>1355.774482</v>
      </c>
      <c r="L266" s="24">
        <f>M266/E266/F266/100</f>
        <v>102.17045611000002</v>
      </c>
      <c r="M266" s="18">
        <f>SUM(G266:K266)</f>
        <v>10217.045611000001</v>
      </c>
    </row>
    <row r="267" spans="1:13" ht="25.5">
      <c r="A267" s="12">
        <v>264</v>
      </c>
      <c r="B267" s="13" t="s">
        <v>645</v>
      </c>
      <c r="C267" s="14" t="s">
        <v>646</v>
      </c>
      <c r="D267" s="14" t="s">
        <v>647</v>
      </c>
      <c r="E267" s="15">
        <v>1</v>
      </c>
      <c r="F267" s="16">
        <v>1</v>
      </c>
      <c r="G267" s="17">
        <f>E267 * F267 * 16977.59</f>
        <v>16977.59</v>
      </c>
      <c r="H267" s="17">
        <f>E267 * F267 * 163.398</f>
        <v>163.398</v>
      </c>
      <c r="I267" s="17">
        <f t="shared" si="32"/>
        <v>0</v>
      </c>
      <c r="J267" s="17">
        <f>E267 * F267 * 17011.54518</f>
        <v>17011.545180000001</v>
      </c>
      <c r="K267" s="17">
        <f>E267 * F267 * 5225.337577</f>
        <v>5225.3375770000002</v>
      </c>
      <c r="L267" s="24">
        <f t="shared" ref="L267:L274" si="34">M267/E267/F267/100</f>
        <v>393.77870756999999</v>
      </c>
      <c r="M267" s="18">
        <f>SUM(G267:K267)</f>
        <v>39377.870756999997</v>
      </c>
    </row>
    <row r="268" spans="1:13">
      <c r="A268" s="12">
        <v>265</v>
      </c>
      <c r="B268" s="13" t="s">
        <v>648</v>
      </c>
      <c r="C268" s="14" t="s">
        <v>649</v>
      </c>
      <c r="D268" s="14" t="s">
        <v>162</v>
      </c>
      <c r="E268" s="15">
        <v>1</v>
      </c>
      <c r="F268" s="16">
        <v>1</v>
      </c>
      <c r="G268" s="17">
        <f>E268 * F268 * 6222.168125</f>
        <v>6222.1681250000001</v>
      </c>
      <c r="H268" s="17">
        <f>E268 * F268 * 2371.152</f>
        <v>2371.152</v>
      </c>
      <c r="I268" s="17">
        <f t="shared" si="32"/>
        <v>0</v>
      </c>
      <c r="J268" s="17">
        <f>E268 * F268 * 6234.612462</f>
        <v>6234.6124620000001</v>
      </c>
      <c r="K268" s="17">
        <f>E268 * F268 * 2268.673685</f>
        <v>2268.6736850000002</v>
      </c>
      <c r="L268" s="24">
        <f t="shared" si="34"/>
        <v>170.96606272</v>
      </c>
      <c r="M268" s="18">
        <f>SUM(G268:K268)</f>
        <v>17096.606272000001</v>
      </c>
    </row>
    <row r="269" spans="1:13" ht="25.5">
      <c r="A269" s="12">
        <v>266</v>
      </c>
      <c r="B269" s="13" t="s">
        <v>650</v>
      </c>
      <c r="C269" s="14" t="s">
        <v>651</v>
      </c>
      <c r="D269" s="14" t="s">
        <v>652</v>
      </c>
      <c r="E269" s="15">
        <v>1</v>
      </c>
      <c r="F269" s="16">
        <v>1</v>
      </c>
      <c r="G269" s="17">
        <f>E269 * F269 * 33.283399</f>
        <v>33.283399000000003</v>
      </c>
      <c r="H269" s="17">
        <f>E269 * F269 * 510.217285</f>
        <v>510.217285</v>
      </c>
      <c r="I269" s="17">
        <f t="shared" si="32"/>
        <v>0</v>
      </c>
      <c r="J269" s="17">
        <f>E269 * F269 * 33.349965</f>
        <v>33.349964999999997</v>
      </c>
      <c r="K269" s="17">
        <f>E269 * F269 * 88.258149</f>
        <v>88.258149000000003</v>
      </c>
      <c r="L269" s="24">
        <f>M269/E269/F269</f>
        <v>665.10879799999998</v>
      </c>
      <c r="M269" s="18">
        <f>SUM(G269:K269)</f>
        <v>665.10879799999998</v>
      </c>
    </row>
    <row r="270" spans="1:13" ht="25.5">
      <c r="A270" s="12">
        <v>267</v>
      </c>
      <c r="B270" s="13" t="s">
        <v>653</v>
      </c>
      <c r="C270" s="14" t="s">
        <v>654</v>
      </c>
      <c r="D270" s="14" t="s">
        <v>655</v>
      </c>
      <c r="E270" s="15">
        <v>1</v>
      </c>
      <c r="F270" s="16">
        <v>1</v>
      </c>
      <c r="G270" s="17">
        <f>E270 * F270 * 5340.82425</f>
        <v>5340.8242499999997</v>
      </c>
      <c r="H270" s="17">
        <f>E270 * F270 * 13148.166724</f>
        <v>13148.166724000001</v>
      </c>
      <c r="I270" s="17">
        <f t="shared" si="32"/>
        <v>0</v>
      </c>
      <c r="J270" s="17">
        <f>E270 * F270 * 5351.505899</f>
        <v>5351.5058989999998</v>
      </c>
      <c r="K270" s="17">
        <f>E270 * F270 * 3647.596022</f>
        <v>3647.5960220000002</v>
      </c>
      <c r="L270" s="24">
        <f t="shared" si="34"/>
        <v>274.88092895</v>
      </c>
      <c r="M270" s="18">
        <f>SUM(G270:K270)</f>
        <v>27488.092895000002</v>
      </c>
    </row>
    <row r="271" spans="1:13" ht="25.5">
      <c r="A271" s="12">
        <v>268</v>
      </c>
      <c r="B271" s="13" t="s">
        <v>656</v>
      </c>
      <c r="C271" s="14" t="s">
        <v>657</v>
      </c>
      <c r="D271" s="14" t="s">
        <v>655</v>
      </c>
      <c r="E271" s="15">
        <v>1</v>
      </c>
      <c r="F271" s="16">
        <v>1</v>
      </c>
      <c r="G271" s="17">
        <f>E271 * F271 * 5340.82425</f>
        <v>5340.8242499999997</v>
      </c>
      <c r="H271" s="17">
        <f>E271 * F271 * 14762.137568</f>
        <v>14762.137568</v>
      </c>
      <c r="I271" s="17">
        <f t="shared" si="32"/>
        <v>0</v>
      </c>
      <c r="J271" s="17">
        <f>E271 * F271 * 5351.505899</f>
        <v>5351.5058989999998</v>
      </c>
      <c r="K271" s="17">
        <f>E271 * F271 * 3894.533561</f>
        <v>3894.5335610000002</v>
      </c>
      <c r="L271" s="24">
        <f t="shared" si="34"/>
        <v>293.49001277999997</v>
      </c>
      <c r="M271" s="18">
        <f>SUM(G271:K271)</f>
        <v>29349.001278</v>
      </c>
    </row>
    <row r="272" spans="1:13" ht="25.5">
      <c r="A272" s="12">
        <v>269</v>
      </c>
      <c r="B272" s="13" t="s">
        <v>658</v>
      </c>
      <c r="C272" s="14" t="s">
        <v>659</v>
      </c>
      <c r="D272" s="14" t="s">
        <v>655</v>
      </c>
      <c r="E272" s="15">
        <v>1</v>
      </c>
      <c r="F272" s="16">
        <v>1</v>
      </c>
      <c r="G272" s="17">
        <f>E272 * F272 * 5340.82425</f>
        <v>5340.8242499999997</v>
      </c>
      <c r="H272" s="17">
        <f>E272 * F272 * 18090.61627</f>
        <v>18090.616269999999</v>
      </c>
      <c r="I272" s="17">
        <f t="shared" si="32"/>
        <v>0</v>
      </c>
      <c r="J272" s="17">
        <f>E272 * F272 * 5351.505899</f>
        <v>5351.5058989999998</v>
      </c>
      <c r="K272" s="17">
        <f>E272 * F272 * 4403.790802</f>
        <v>4403.7908020000004</v>
      </c>
      <c r="L272" s="24">
        <f t="shared" si="34"/>
        <v>331.86737220999998</v>
      </c>
      <c r="M272" s="18">
        <f>SUM(G272:K272)</f>
        <v>33186.737220999996</v>
      </c>
    </row>
    <row r="273" spans="1:13">
      <c r="A273" s="12">
        <v>270</v>
      </c>
      <c r="B273" s="13" t="s">
        <v>660</v>
      </c>
      <c r="C273" s="14" t="s">
        <v>661</v>
      </c>
      <c r="D273" s="14" t="s">
        <v>655</v>
      </c>
      <c r="E273" s="15">
        <v>1</v>
      </c>
      <c r="F273" s="16">
        <v>1</v>
      </c>
      <c r="G273" s="17">
        <f>E273 * F273 * 5340.82425</f>
        <v>5340.8242499999997</v>
      </c>
      <c r="H273" s="17">
        <f>E273 * F273 * 14652.097462</f>
        <v>14652.097462</v>
      </c>
      <c r="I273" s="17">
        <f t="shared" si="32"/>
        <v>0</v>
      </c>
      <c r="J273" s="17">
        <f>E273 * F273 * 5351.505899</f>
        <v>5351.5058989999998</v>
      </c>
      <c r="K273" s="17">
        <f>E273 * F273 * 3877.697424</f>
        <v>3877.697424</v>
      </c>
      <c r="L273" s="24">
        <f t="shared" si="34"/>
        <v>292.22125034999999</v>
      </c>
      <c r="M273" s="18">
        <f>SUM(G273:K273)</f>
        <v>29222.125034999997</v>
      </c>
    </row>
    <row r="274" spans="1:13">
      <c r="A274" s="12">
        <v>271</v>
      </c>
      <c r="B274" s="13" t="s">
        <v>662</v>
      </c>
      <c r="C274" s="14" t="s">
        <v>663</v>
      </c>
      <c r="D274" s="14" t="s">
        <v>655</v>
      </c>
      <c r="E274" s="15">
        <v>1</v>
      </c>
      <c r="F274" s="16">
        <v>1</v>
      </c>
      <c r="G274" s="17">
        <f>E274 * F274 * 5340.82425</f>
        <v>5340.8242499999997</v>
      </c>
      <c r="H274" s="17">
        <f>E274 * F274 * 15270.695602</f>
        <v>15270.695602</v>
      </c>
      <c r="I274" s="17">
        <f t="shared" si="32"/>
        <v>0</v>
      </c>
      <c r="J274" s="17">
        <f>E274 * F274 * 5351.505899</f>
        <v>5351.5058989999998</v>
      </c>
      <c r="K274" s="17">
        <f>E274 * F274 * 3972.34294</f>
        <v>3972.34294</v>
      </c>
      <c r="L274" s="24">
        <f t="shared" si="34"/>
        <v>299.35368690999996</v>
      </c>
      <c r="M274" s="18">
        <f>SUM(G274:K274)</f>
        <v>29935.368690999996</v>
      </c>
    </row>
    <row r="275" spans="1:13" ht="25.5">
      <c r="A275" s="12">
        <v>272</v>
      </c>
      <c r="B275" s="13" t="s">
        <v>664</v>
      </c>
      <c r="C275" s="14" t="s">
        <v>665</v>
      </c>
      <c r="D275" s="14" t="s">
        <v>666</v>
      </c>
      <c r="E275" s="15">
        <v>1</v>
      </c>
      <c r="F275" s="16">
        <v>1</v>
      </c>
      <c r="G275" s="17">
        <f>E275 * F275 * 229.887652</f>
        <v>229.887652</v>
      </c>
      <c r="H275" s="17">
        <f>E275 * F275 * 2110.170144</f>
        <v>2110.1701440000002</v>
      </c>
      <c r="I275" s="17">
        <f t="shared" si="32"/>
        <v>0</v>
      </c>
      <c r="J275" s="17">
        <f>E275 * F275 * 230.347426999999</f>
        <v>230.34742699999899</v>
      </c>
      <c r="K275" s="17">
        <f>E275 * F275 * 393.271999</f>
        <v>393.27199899999999</v>
      </c>
      <c r="L275" s="24">
        <f>M275/E275/F275</f>
        <v>2963.6772219999989</v>
      </c>
      <c r="M275" s="18">
        <f>SUM(G275:K275)</f>
        <v>2963.6772219999989</v>
      </c>
    </row>
    <row r="276" spans="1:13" ht="25.5">
      <c r="A276" s="12">
        <v>273</v>
      </c>
      <c r="B276" s="13" t="s">
        <v>667</v>
      </c>
      <c r="C276" s="14" t="s">
        <v>668</v>
      </c>
      <c r="D276" s="14" t="s">
        <v>669</v>
      </c>
      <c r="E276" s="15">
        <v>1</v>
      </c>
      <c r="F276" s="16">
        <v>1</v>
      </c>
      <c r="G276" s="17">
        <f>E276 * F276 * 371.781</f>
        <v>371.78100000000001</v>
      </c>
      <c r="H276" s="17">
        <f>E276 * F276 * 115.967405</f>
        <v>115.967405</v>
      </c>
      <c r="I276" s="17">
        <f t="shared" si="32"/>
        <v>0</v>
      </c>
      <c r="J276" s="17">
        <f>E276 * F276 * 372.524561999999</f>
        <v>372.52456199999898</v>
      </c>
      <c r="K276" s="17">
        <f>E276 * F276 * 131.621763999999</f>
        <v>131.62176399999899</v>
      </c>
      <c r="L276" s="24">
        <f t="shared" ref="L276:L277" si="35">M276/E276/F276</f>
        <v>991.89473099999793</v>
      </c>
      <c r="M276" s="18">
        <f>SUM(G276:K276)</f>
        <v>991.89473099999793</v>
      </c>
    </row>
    <row r="277" spans="1:13" ht="25.5">
      <c r="A277" s="12">
        <v>274</v>
      </c>
      <c r="B277" s="13" t="s">
        <v>670</v>
      </c>
      <c r="C277" s="14" t="s">
        <v>671</v>
      </c>
      <c r="D277" s="14" t="s">
        <v>669</v>
      </c>
      <c r="E277" s="15">
        <v>1</v>
      </c>
      <c r="F277" s="16">
        <v>1</v>
      </c>
      <c r="G277" s="17">
        <f>E277 * F277 * 67.340827</f>
        <v>67.340827000000004</v>
      </c>
      <c r="H277" s="17">
        <f>E277 * F277 * 2.265554</f>
        <v>2.2655539999999998</v>
      </c>
      <c r="I277" s="17">
        <f t="shared" ref="I277:I304" si="36">E277 * F277 * 0</f>
        <v>0</v>
      </c>
      <c r="J277" s="17">
        <f>E277 * F277 * 67.475509</f>
        <v>67.475509000000002</v>
      </c>
      <c r="K277" s="17">
        <f>E277 * F277 * 20.973529</f>
        <v>20.973528999999999</v>
      </c>
      <c r="L277" s="24">
        <f t="shared" si="35"/>
        <v>158.05541899999997</v>
      </c>
      <c r="M277" s="18">
        <f>SUM(G277:K277)</f>
        <v>158.05541899999997</v>
      </c>
    </row>
    <row r="278" spans="1:13" ht="38.25">
      <c r="A278" s="12">
        <v>275</v>
      </c>
      <c r="B278" s="13" t="s">
        <v>672</v>
      </c>
      <c r="C278" s="14" t="s">
        <v>673</v>
      </c>
      <c r="D278" s="14" t="s">
        <v>674</v>
      </c>
      <c r="E278" s="15">
        <v>1</v>
      </c>
      <c r="F278" s="16">
        <v>1</v>
      </c>
      <c r="G278" s="17">
        <f>E278 * F278 * 8513.0487</f>
        <v>8513.0486999999994</v>
      </c>
      <c r="H278" s="17">
        <f>E278 * F278 * 4521.21877</f>
        <v>4521.2187700000004</v>
      </c>
      <c r="I278" s="17">
        <f t="shared" si="36"/>
        <v>0</v>
      </c>
      <c r="J278" s="17">
        <f>E278 * F278 * 8530.074797</f>
        <v>8530.0747969999993</v>
      </c>
      <c r="K278" s="17">
        <f>E278 * F278 * 3299.34436699999</f>
        <v>3299.3443669999901</v>
      </c>
      <c r="L278" s="24">
        <f t="shared" ref="L278:L279" si="37">M278/E278/F278/100</f>
        <v>248.6368663399999</v>
      </c>
      <c r="M278" s="18">
        <f>SUM(G278:K278)</f>
        <v>24863.686633999991</v>
      </c>
    </row>
    <row r="279" spans="1:13" ht="25.5">
      <c r="A279" s="12">
        <v>276</v>
      </c>
      <c r="B279" s="13" t="s">
        <v>675</v>
      </c>
      <c r="C279" s="14" t="s">
        <v>676</v>
      </c>
      <c r="D279" s="14" t="s">
        <v>677</v>
      </c>
      <c r="E279" s="15">
        <v>1</v>
      </c>
      <c r="F279" s="16">
        <v>1</v>
      </c>
      <c r="G279" s="17">
        <f>E279 * F279 * 11004.028</f>
        <v>11004.028</v>
      </c>
      <c r="H279" s="17">
        <f>E279 * F279 * 111592.534878</f>
        <v>111592.53487800001</v>
      </c>
      <c r="I279" s="17">
        <f t="shared" si="36"/>
        <v>0</v>
      </c>
      <c r="J279" s="17">
        <f>E279 * F279 * 11026.036056</f>
        <v>11026.036056000001</v>
      </c>
      <c r="K279" s="17">
        <f>E279 * F279 * 20444.257637</f>
        <v>20444.257636999999</v>
      </c>
      <c r="L279" s="24">
        <f t="shared" si="37"/>
        <v>1540.6685657100002</v>
      </c>
      <c r="M279" s="18">
        <f>SUM(G279:K279)</f>
        <v>154066.85657100001</v>
      </c>
    </row>
    <row r="280" spans="1:13" ht="25.5">
      <c r="A280" s="12">
        <v>277</v>
      </c>
      <c r="B280" s="13" t="s">
        <v>678</v>
      </c>
      <c r="C280" s="14" t="s">
        <v>679</v>
      </c>
      <c r="D280" s="14" t="s">
        <v>680</v>
      </c>
      <c r="E280" s="15">
        <v>1</v>
      </c>
      <c r="F280" s="16">
        <v>1</v>
      </c>
      <c r="G280" s="17">
        <f>E280 * F280 * 94.58943</f>
        <v>94.589429999999993</v>
      </c>
      <c r="H280" s="17">
        <f t="shared" ref="H280:H294" si="38">E280 * F280 * 0</f>
        <v>0</v>
      </c>
      <c r="I280" s="17">
        <f t="shared" si="36"/>
        <v>0</v>
      </c>
      <c r="J280" s="17">
        <f>E280 * F280 * 94.778609</f>
        <v>94.778609000000003</v>
      </c>
      <c r="K280" s="17">
        <f>E280 * F280 * 28.9733099999999</f>
        <v>28.973309999999898</v>
      </c>
      <c r="L280" s="24">
        <f>M280/E280/F280/1000</f>
        <v>0.21834134899999993</v>
      </c>
      <c r="M280" s="18">
        <f>SUM(G280:K280)</f>
        <v>218.34134899999992</v>
      </c>
    </row>
    <row r="281" spans="1:13" ht="25.5">
      <c r="A281" s="12">
        <v>278</v>
      </c>
      <c r="B281" s="13" t="s">
        <v>681</v>
      </c>
      <c r="C281" s="14" t="s">
        <v>682</v>
      </c>
      <c r="D281" s="14" t="s">
        <v>680</v>
      </c>
      <c r="E281" s="15">
        <v>1</v>
      </c>
      <c r="F281" s="16">
        <v>1</v>
      </c>
      <c r="G281" s="17">
        <f>E281 * F281 * 754.29007</f>
        <v>754.29007000000001</v>
      </c>
      <c r="H281" s="17">
        <f t="shared" si="38"/>
        <v>0</v>
      </c>
      <c r="I281" s="17">
        <f t="shared" si="36"/>
        <v>0</v>
      </c>
      <c r="J281" s="17">
        <f>E281 * F281 * 755.79865</f>
        <v>755.79864999999995</v>
      </c>
      <c r="K281" s="17">
        <f>E281 * F281 * 231.043574</f>
        <v>231.04357400000001</v>
      </c>
      <c r="L281" s="24">
        <f t="shared" ref="L281:L291" si="39">M281/E281/F281/1000</f>
        <v>1.741132294</v>
      </c>
      <c r="M281" s="18">
        <f>SUM(G281:K281)</f>
        <v>1741.132294</v>
      </c>
    </row>
    <row r="282" spans="1:13" ht="25.5">
      <c r="A282" s="12">
        <v>279</v>
      </c>
      <c r="B282" s="13" t="s">
        <v>683</v>
      </c>
      <c r="C282" s="14" t="s">
        <v>684</v>
      </c>
      <c r="D282" s="14" t="s">
        <v>680</v>
      </c>
      <c r="E282" s="15">
        <v>1</v>
      </c>
      <c r="F282" s="16">
        <v>1</v>
      </c>
      <c r="G282" s="17">
        <f>E282 * F282 * 2683.4899</f>
        <v>2683.4899</v>
      </c>
      <c r="H282" s="17">
        <f t="shared" si="38"/>
        <v>0</v>
      </c>
      <c r="I282" s="17">
        <f t="shared" si="36"/>
        <v>0</v>
      </c>
      <c r="J282" s="17">
        <f>E282 * F282 * 2688.85688</f>
        <v>2688.8568799999998</v>
      </c>
      <c r="K282" s="17">
        <f>E282 * F282 * 821.969057999999</f>
        <v>821.969057999999</v>
      </c>
      <c r="L282" s="24">
        <f t="shared" si="39"/>
        <v>6.1943158379999987</v>
      </c>
      <c r="M282" s="18">
        <f>SUM(G282:K282)</f>
        <v>6194.3158379999986</v>
      </c>
    </row>
    <row r="283" spans="1:13" ht="25.5">
      <c r="A283" s="12">
        <v>280</v>
      </c>
      <c r="B283" s="13" t="s">
        <v>685</v>
      </c>
      <c r="C283" s="14" t="s">
        <v>686</v>
      </c>
      <c r="D283" s="14" t="s">
        <v>680</v>
      </c>
      <c r="E283" s="15">
        <v>1</v>
      </c>
      <c r="F283" s="16">
        <v>1</v>
      </c>
      <c r="G283" s="17">
        <f>E283 * F283 * 684.56375</f>
        <v>684.56375000000003</v>
      </c>
      <c r="H283" s="17">
        <f t="shared" si="38"/>
        <v>0</v>
      </c>
      <c r="I283" s="17">
        <f t="shared" si="36"/>
        <v>0</v>
      </c>
      <c r="J283" s="17">
        <f>E283 * F283 * 685.932878</f>
        <v>685.93287799999996</v>
      </c>
      <c r="K283" s="17">
        <f>E283 * F283 * 209.685984</f>
        <v>209.68598399999999</v>
      </c>
      <c r="L283" s="24">
        <f t="shared" si="39"/>
        <v>1.5801826119999998</v>
      </c>
      <c r="M283" s="18">
        <f>SUM(G283:K283)</f>
        <v>1580.1826119999998</v>
      </c>
    </row>
    <row r="284" spans="1:13">
      <c r="A284" s="12">
        <v>281</v>
      </c>
      <c r="B284" s="13" t="s">
        <v>687</v>
      </c>
      <c r="C284" s="14" t="s">
        <v>688</v>
      </c>
      <c r="D284" s="14" t="s">
        <v>689</v>
      </c>
      <c r="E284" s="15">
        <v>1</v>
      </c>
      <c r="F284" s="16">
        <v>1</v>
      </c>
      <c r="G284" s="17">
        <f>E284 * F284 * 575.03355</f>
        <v>575.03354999999999</v>
      </c>
      <c r="H284" s="17">
        <f t="shared" si="38"/>
        <v>0</v>
      </c>
      <c r="I284" s="17">
        <f t="shared" si="36"/>
        <v>0</v>
      </c>
      <c r="J284" s="17">
        <f>E284 * F284 * 576.183617</f>
        <v>576.18361700000003</v>
      </c>
      <c r="K284" s="17">
        <f>E284 * F284 * 176.136227</f>
        <v>176.13622699999999</v>
      </c>
      <c r="L284" s="24">
        <f t="shared" si="39"/>
        <v>1.327353394</v>
      </c>
      <c r="M284" s="18">
        <f>SUM(G284:K284)</f>
        <v>1327.353394</v>
      </c>
    </row>
    <row r="285" spans="1:13" ht="25.5">
      <c r="A285" s="12">
        <v>282</v>
      </c>
      <c r="B285" s="13" t="s">
        <v>690</v>
      </c>
      <c r="C285" s="14" t="s">
        <v>691</v>
      </c>
      <c r="D285" s="14" t="s">
        <v>680</v>
      </c>
      <c r="E285" s="15">
        <v>1</v>
      </c>
      <c r="F285" s="16">
        <v>1</v>
      </c>
      <c r="G285" s="17">
        <f>E285 * F285 * 375.140935</f>
        <v>375.14093500000001</v>
      </c>
      <c r="H285" s="17">
        <f t="shared" si="38"/>
        <v>0</v>
      </c>
      <c r="I285" s="17">
        <f t="shared" si="36"/>
        <v>0</v>
      </c>
      <c r="J285" s="17">
        <f>E285 * F285 * 375.891217</f>
        <v>375.89121699999998</v>
      </c>
      <c r="K285" s="17">
        <f>E285 * F285 * 114.907918999999</f>
        <v>114.907918999999</v>
      </c>
      <c r="L285" s="24">
        <f t="shared" si="39"/>
        <v>0.86594007099999892</v>
      </c>
      <c r="M285" s="18">
        <f>SUM(G285:K285)</f>
        <v>865.94007099999897</v>
      </c>
    </row>
    <row r="286" spans="1:13">
      <c r="A286" s="12">
        <v>283</v>
      </c>
      <c r="B286" s="13" t="s">
        <v>692</v>
      </c>
      <c r="C286" s="14" t="s">
        <v>693</v>
      </c>
      <c r="D286" s="14" t="s">
        <v>689</v>
      </c>
      <c r="E286" s="15">
        <v>1</v>
      </c>
      <c r="F286" s="16">
        <v>1</v>
      </c>
      <c r="G286" s="17">
        <f>E286 * F286 * 306.68456</f>
        <v>306.68455999999998</v>
      </c>
      <c r="H286" s="17">
        <f t="shared" si="38"/>
        <v>0</v>
      </c>
      <c r="I286" s="17">
        <f t="shared" si="36"/>
        <v>0</v>
      </c>
      <c r="J286" s="17">
        <f>E286 * F286 * 307.297929</f>
        <v>307.29792900000001</v>
      </c>
      <c r="K286" s="17">
        <f>E286 * F286 * 93.9393209999999</f>
        <v>93.939320999999893</v>
      </c>
      <c r="L286" s="24">
        <f t="shared" si="39"/>
        <v>0.70792180999999987</v>
      </c>
      <c r="M286" s="18">
        <f>SUM(G286:K286)</f>
        <v>707.92180999999982</v>
      </c>
    </row>
    <row r="287" spans="1:13" ht="25.5">
      <c r="A287" s="12">
        <v>284</v>
      </c>
      <c r="B287" s="13" t="s">
        <v>694</v>
      </c>
      <c r="C287" s="14" t="s">
        <v>695</v>
      </c>
      <c r="D287" s="14" t="s">
        <v>680</v>
      </c>
      <c r="E287" s="15">
        <v>1</v>
      </c>
      <c r="F287" s="16">
        <v>1</v>
      </c>
      <c r="G287" s="17">
        <f>E287 * F287 * 1095.302</f>
        <v>1095.3019999999999</v>
      </c>
      <c r="H287" s="17">
        <f t="shared" si="38"/>
        <v>0</v>
      </c>
      <c r="I287" s="17">
        <f t="shared" si="36"/>
        <v>0</v>
      </c>
      <c r="J287" s="17">
        <f>E287 * F287 * 1097.492604</f>
        <v>1097.492604</v>
      </c>
      <c r="K287" s="17">
        <f>E287 * F287 * 335.497574</f>
        <v>335.49757399999999</v>
      </c>
      <c r="L287" s="24">
        <f t="shared" si="39"/>
        <v>2.5282921779999996</v>
      </c>
      <c r="M287" s="18">
        <f>SUM(G287:K287)</f>
        <v>2528.2921779999997</v>
      </c>
    </row>
    <row r="288" spans="1:13" ht="25.5">
      <c r="A288" s="12">
        <v>285</v>
      </c>
      <c r="B288" s="13" t="s">
        <v>696</v>
      </c>
      <c r="C288" s="14" t="s">
        <v>697</v>
      </c>
      <c r="D288" s="14" t="s">
        <v>680</v>
      </c>
      <c r="E288" s="15">
        <v>1</v>
      </c>
      <c r="F288" s="16">
        <v>1</v>
      </c>
      <c r="G288" s="17">
        <f>E288 * F288 * 821.4765</f>
        <v>821.47649999999999</v>
      </c>
      <c r="H288" s="17">
        <f t="shared" si="38"/>
        <v>0</v>
      </c>
      <c r="I288" s="17">
        <f t="shared" si="36"/>
        <v>0</v>
      </c>
      <c r="J288" s="17">
        <f>E288 * F288 * 823.119453</f>
        <v>823.11945300000002</v>
      </c>
      <c r="K288" s="17">
        <f>E288 * F288 * 251.62318</f>
        <v>251.62317999999999</v>
      </c>
      <c r="L288" s="24">
        <f t="shared" si="39"/>
        <v>1.896219133</v>
      </c>
      <c r="M288" s="18">
        <f>SUM(G288:K288)</f>
        <v>1896.2191330000001</v>
      </c>
    </row>
    <row r="289" spans="1:13">
      <c r="A289" s="12">
        <v>286</v>
      </c>
      <c r="B289" s="13" t="s">
        <v>698</v>
      </c>
      <c r="C289" s="14" t="s">
        <v>699</v>
      </c>
      <c r="D289" s="14" t="s">
        <v>700</v>
      </c>
      <c r="E289" s="15">
        <v>1</v>
      </c>
      <c r="F289" s="16">
        <v>1</v>
      </c>
      <c r="G289" s="17">
        <f>E289 * F289 * 821.4765</f>
        <v>821.47649999999999</v>
      </c>
      <c r="H289" s="17">
        <f t="shared" si="38"/>
        <v>0</v>
      </c>
      <c r="I289" s="17">
        <f t="shared" si="36"/>
        <v>0</v>
      </c>
      <c r="J289" s="17">
        <f>E289 * F289 * 823.119453</f>
        <v>823.11945300000002</v>
      </c>
      <c r="K289" s="17">
        <f>E289 * F289 * 251.62318</f>
        <v>251.62317999999999</v>
      </c>
      <c r="L289" s="24">
        <f t="shared" si="39"/>
        <v>1.896219133</v>
      </c>
      <c r="M289" s="18">
        <f>SUM(G289:K289)</f>
        <v>1896.2191330000001</v>
      </c>
    </row>
    <row r="290" spans="1:13">
      <c r="A290" s="12">
        <v>287</v>
      </c>
      <c r="B290" s="13" t="s">
        <v>701</v>
      </c>
      <c r="C290" s="14" t="s">
        <v>702</v>
      </c>
      <c r="D290" s="14" t="s">
        <v>700</v>
      </c>
      <c r="E290" s="15">
        <v>1</v>
      </c>
      <c r="F290" s="16">
        <v>1</v>
      </c>
      <c r="G290" s="17">
        <f>E290 * F290 * 766.7114</f>
        <v>766.71140000000003</v>
      </c>
      <c r="H290" s="17">
        <f t="shared" si="38"/>
        <v>0</v>
      </c>
      <c r="I290" s="17">
        <f t="shared" si="36"/>
        <v>0</v>
      </c>
      <c r="J290" s="17">
        <f>E290 * F290 * 768.244823</f>
        <v>768.244823</v>
      </c>
      <c r="K290" s="17">
        <f>E290 * F290 * 234.848302</f>
        <v>234.84830199999999</v>
      </c>
      <c r="L290" s="24">
        <f t="shared" si="39"/>
        <v>1.7698045250000001</v>
      </c>
      <c r="M290" s="18">
        <f>SUM(G290:K290)</f>
        <v>1769.804525</v>
      </c>
    </row>
    <row r="291" spans="1:13" ht="25.5">
      <c r="A291" s="12">
        <v>288</v>
      </c>
      <c r="B291" s="13" t="s">
        <v>703</v>
      </c>
      <c r="C291" s="14" t="s">
        <v>704</v>
      </c>
      <c r="D291" s="14" t="s">
        <v>700</v>
      </c>
      <c r="E291" s="15">
        <v>1</v>
      </c>
      <c r="F291" s="16">
        <v>1</v>
      </c>
      <c r="G291" s="17">
        <f>E291 * F291 * 711.9463</f>
        <v>711.94629999999995</v>
      </c>
      <c r="H291" s="17">
        <f t="shared" si="38"/>
        <v>0</v>
      </c>
      <c r="I291" s="17">
        <f t="shared" si="36"/>
        <v>0</v>
      </c>
      <c r="J291" s="17">
        <f>E291 * F291 * 713.370193</f>
        <v>713.37019299999997</v>
      </c>
      <c r="K291" s="17">
        <f>E291 * F291 * 218.073423</f>
        <v>218.07342299999999</v>
      </c>
      <c r="L291" s="24">
        <f t="shared" si="39"/>
        <v>1.6433899159999998</v>
      </c>
      <c r="M291" s="18">
        <f>SUM(G291:K291)</f>
        <v>1643.3899159999999</v>
      </c>
    </row>
    <row r="292" spans="1:13" ht="25.5">
      <c r="A292" s="12">
        <v>289</v>
      </c>
      <c r="B292" s="13" t="s">
        <v>705</v>
      </c>
      <c r="C292" s="14" t="s">
        <v>706</v>
      </c>
      <c r="D292" s="14" t="s">
        <v>707</v>
      </c>
      <c r="E292" s="15">
        <v>1</v>
      </c>
      <c r="F292" s="16">
        <v>1</v>
      </c>
      <c r="G292" s="17">
        <f>E292 * F292 * 1226.73824</f>
        <v>1226.7382399999999</v>
      </c>
      <c r="H292" s="17">
        <f t="shared" si="38"/>
        <v>0</v>
      </c>
      <c r="I292" s="17">
        <f t="shared" si="36"/>
        <v>0</v>
      </c>
      <c r="J292" s="17">
        <f>E292 * F292 * 1229.191716</f>
        <v>1229.191716</v>
      </c>
      <c r="K292" s="17">
        <f>E292 * F292 * 375.757283999999</f>
        <v>375.757283999999</v>
      </c>
      <c r="L292" s="24">
        <f>M292/E292/F292/100</f>
        <v>28.316872399999987</v>
      </c>
      <c r="M292" s="18">
        <f>SUM(G292:K292)</f>
        <v>2831.6872399999988</v>
      </c>
    </row>
    <row r="293" spans="1:13" ht="25.5">
      <c r="A293" s="12">
        <v>290</v>
      </c>
      <c r="B293" s="13" t="s">
        <v>708</v>
      </c>
      <c r="C293" s="14" t="s">
        <v>709</v>
      </c>
      <c r="D293" s="14" t="s">
        <v>710</v>
      </c>
      <c r="E293" s="15">
        <v>1</v>
      </c>
      <c r="F293" s="16">
        <v>1</v>
      </c>
      <c r="G293" s="17">
        <f>E293 * F293 * 1662</f>
        <v>1662</v>
      </c>
      <c r="H293" s="17">
        <f t="shared" si="38"/>
        <v>0</v>
      </c>
      <c r="I293" s="17">
        <f t="shared" si="36"/>
        <v>0</v>
      </c>
      <c r="J293" s="17">
        <f>E293 * F293 * 1665.324</f>
        <v>1665.3240000000001</v>
      </c>
      <c r="K293" s="17">
        <f>E293 * F293 * 509.080572</f>
        <v>509.08057200000002</v>
      </c>
      <c r="L293" s="24">
        <f t="shared" ref="L293:L300" si="40">M293/E293/F293/100</f>
        <v>38.36404572</v>
      </c>
      <c r="M293" s="18">
        <f>SUM(G293:K293)</f>
        <v>3836.4045719999999</v>
      </c>
    </row>
    <row r="294" spans="1:13">
      <c r="A294" s="12">
        <v>291</v>
      </c>
      <c r="B294" s="13" t="s">
        <v>711</v>
      </c>
      <c r="C294" s="14" t="s">
        <v>712</v>
      </c>
      <c r="D294" s="14" t="s">
        <v>713</v>
      </c>
      <c r="E294" s="15">
        <v>1</v>
      </c>
      <c r="F294" s="16">
        <v>1</v>
      </c>
      <c r="G294" s="17">
        <f>E294 * F294 * 24.099</f>
        <v>24.099</v>
      </c>
      <c r="H294" s="17">
        <f t="shared" si="38"/>
        <v>0</v>
      </c>
      <c r="I294" s="17">
        <f t="shared" si="36"/>
        <v>0</v>
      </c>
      <c r="J294" s="17">
        <f>E294 * F294 * 24.147198</f>
        <v>24.147197999999999</v>
      </c>
      <c r="K294" s="17">
        <f>E294 * F294 * 7.381669</f>
        <v>7.3816689999999996</v>
      </c>
      <c r="L294" s="24">
        <f t="shared" si="40"/>
        <v>0.55627866999999998</v>
      </c>
      <c r="M294" s="18">
        <f>SUM(G294:K294)</f>
        <v>55.627867000000002</v>
      </c>
    </row>
    <row r="295" spans="1:13" ht="38.25">
      <c r="A295" s="12">
        <v>292</v>
      </c>
      <c r="B295" s="13" t="s">
        <v>714</v>
      </c>
      <c r="C295" s="14" t="s">
        <v>715</v>
      </c>
      <c r="D295" s="14" t="s">
        <v>716</v>
      </c>
      <c r="E295" s="15">
        <v>1</v>
      </c>
      <c r="F295" s="16">
        <v>1</v>
      </c>
      <c r="G295" s="17">
        <f>E295 * F295 * 8591.76075</f>
        <v>8591.7607499999995</v>
      </c>
      <c r="H295" s="17">
        <f>E295 * F295 * 1090.29342</f>
        <v>1090.29342</v>
      </c>
      <c r="I295" s="17">
        <f t="shared" si="36"/>
        <v>0</v>
      </c>
      <c r="J295" s="17">
        <f>E295 * F295 * 8608.944271</f>
        <v>8608.9442710000003</v>
      </c>
      <c r="K295" s="17">
        <f>E295 * F295 * 2798.522762</f>
        <v>2798.5227620000001</v>
      </c>
      <c r="L295" s="24">
        <f t="shared" si="40"/>
        <v>210.89521203000001</v>
      </c>
      <c r="M295" s="18">
        <f>SUM(G295:K295)</f>
        <v>21089.521203</v>
      </c>
    </row>
    <row r="296" spans="1:13" ht="25.5">
      <c r="A296" s="12">
        <v>293</v>
      </c>
      <c r="B296" s="13" t="s">
        <v>717</v>
      </c>
      <c r="C296" s="14" t="s">
        <v>718</v>
      </c>
      <c r="D296" s="14" t="s">
        <v>680</v>
      </c>
      <c r="E296" s="15">
        <v>1</v>
      </c>
      <c r="F296" s="16">
        <v>1</v>
      </c>
      <c r="G296" s="17">
        <f>E296 * F296 * 1018.6554</f>
        <v>1018.6554</v>
      </c>
      <c r="H296" s="17">
        <f>E296 * F296 * 0</f>
        <v>0</v>
      </c>
      <c r="I296" s="17">
        <f t="shared" si="36"/>
        <v>0</v>
      </c>
      <c r="J296" s="17">
        <f>E296 * F296 * 1020.69271099999</f>
        <v>1020.69271099999</v>
      </c>
      <c r="K296" s="17">
        <f>E296 * F296 * 312.020261</f>
        <v>312.020261</v>
      </c>
      <c r="L296" s="24">
        <f t="shared" ref="L296" si="41">M296/E296/F296/1000</f>
        <v>2.3513683719999898</v>
      </c>
      <c r="M296" s="18">
        <f>SUM(G296:K296)</f>
        <v>2351.3683719999899</v>
      </c>
    </row>
    <row r="297" spans="1:13" ht="25.5">
      <c r="A297" s="12">
        <v>294</v>
      </c>
      <c r="B297" s="13" t="s">
        <v>719</v>
      </c>
      <c r="C297" s="14" t="s">
        <v>720</v>
      </c>
      <c r="D297" s="14" t="s">
        <v>721</v>
      </c>
      <c r="E297" s="15">
        <v>1</v>
      </c>
      <c r="F297" s="16">
        <v>1</v>
      </c>
      <c r="G297" s="17">
        <f>E297 * F297 * 701.91</f>
        <v>701.91</v>
      </c>
      <c r="H297" s="17">
        <f>E297 * F297 * 0</f>
        <v>0</v>
      </c>
      <c r="I297" s="17">
        <f t="shared" si="36"/>
        <v>0</v>
      </c>
      <c r="J297" s="17">
        <f>E297 * F297 * 703.31382</f>
        <v>703.31381999999996</v>
      </c>
      <c r="K297" s="17">
        <f>E297 * F297 * 214.999244</f>
        <v>214.999244</v>
      </c>
      <c r="L297" s="24">
        <f t="shared" si="40"/>
        <v>16.20223064</v>
      </c>
      <c r="M297" s="18">
        <f>SUM(G297:K297)</f>
        <v>1620.223064</v>
      </c>
    </row>
    <row r="298" spans="1:13">
      <c r="A298" s="12">
        <v>295</v>
      </c>
      <c r="B298" s="13" t="s">
        <v>722</v>
      </c>
      <c r="C298" s="14" t="s">
        <v>723</v>
      </c>
      <c r="D298" s="14" t="s">
        <v>724</v>
      </c>
      <c r="E298" s="15">
        <v>1</v>
      </c>
      <c r="F298" s="16">
        <v>1</v>
      </c>
      <c r="G298" s="17">
        <f>E298 * F298 * 38.995</f>
        <v>38.994999999999997</v>
      </c>
      <c r="H298" s="17">
        <f>E298 * F298 * 0</f>
        <v>0</v>
      </c>
      <c r="I298" s="17">
        <f t="shared" si="36"/>
        <v>0</v>
      </c>
      <c r="J298" s="17">
        <f>E298 * F298 * 39.07299</f>
        <v>39.072989999999997</v>
      </c>
      <c r="K298" s="17">
        <f>E298 * F298 * 11.944403</f>
        <v>11.944402999999999</v>
      </c>
      <c r="L298" s="24">
        <f>M298/E298/F298</f>
        <v>90.012392999999989</v>
      </c>
      <c r="M298" s="18">
        <f>SUM(G298:K298)</f>
        <v>90.012392999999989</v>
      </c>
    </row>
    <row r="299" spans="1:13">
      <c r="A299" s="12">
        <v>296</v>
      </c>
      <c r="B299" s="13" t="s">
        <v>725</v>
      </c>
      <c r="C299" s="14" t="s">
        <v>726</v>
      </c>
      <c r="D299" s="14" t="s">
        <v>145</v>
      </c>
      <c r="E299" s="15">
        <v>1</v>
      </c>
      <c r="F299" s="16">
        <v>1</v>
      </c>
      <c r="G299" s="17">
        <f>E299 * F299 * 1212.685</f>
        <v>1212.6849999999999</v>
      </c>
      <c r="H299" s="17">
        <f>E299 * F299 * 1546.2</f>
        <v>1546.2</v>
      </c>
      <c r="I299" s="17">
        <f t="shared" si="36"/>
        <v>0</v>
      </c>
      <c r="J299" s="17">
        <f>E299 * F299 * 1215.11036999999</f>
        <v>1215.1103699999901</v>
      </c>
      <c r="K299" s="17">
        <f>E299 * F299 * 608.021291</f>
        <v>608.02129100000002</v>
      </c>
      <c r="L299" s="24">
        <f t="shared" si="40"/>
        <v>45.820166609999909</v>
      </c>
      <c r="M299" s="18">
        <f>SUM(G299:K299)</f>
        <v>4582.0166609999906</v>
      </c>
    </row>
    <row r="300" spans="1:13">
      <c r="A300" s="12">
        <v>297</v>
      </c>
      <c r="B300" s="13" t="s">
        <v>727</v>
      </c>
      <c r="C300" s="14" t="s">
        <v>728</v>
      </c>
      <c r="D300" s="14" t="s">
        <v>145</v>
      </c>
      <c r="E300" s="15">
        <v>1</v>
      </c>
      <c r="F300" s="16">
        <v>1</v>
      </c>
      <c r="G300" s="17">
        <f>E300 * F300 * 485.074</f>
        <v>485.07400000000001</v>
      </c>
      <c r="H300" s="17">
        <f t="shared" ref="H300:H305" si="42">E300 * F300 * 0</f>
        <v>0</v>
      </c>
      <c r="I300" s="17">
        <f t="shared" si="36"/>
        <v>0</v>
      </c>
      <c r="J300" s="17">
        <f>E300 * F300 * 486.044148</f>
        <v>486.04414800000001</v>
      </c>
      <c r="K300" s="17">
        <f>E300 * F300 * 148.581077</f>
        <v>148.58107699999999</v>
      </c>
      <c r="L300" s="24">
        <f t="shared" si="40"/>
        <v>11.196992250000001</v>
      </c>
      <c r="M300" s="18">
        <f>SUM(G300:K300)</f>
        <v>1119.6992250000001</v>
      </c>
    </row>
    <row r="301" spans="1:13">
      <c r="A301" s="12">
        <v>298</v>
      </c>
      <c r="B301" s="13" t="s">
        <v>729</v>
      </c>
      <c r="C301" s="14" t="s">
        <v>730</v>
      </c>
      <c r="D301" s="14" t="s">
        <v>731</v>
      </c>
      <c r="E301" s="15">
        <v>1</v>
      </c>
      <c r="F301" s="16">
        <v>1</v>
      </c>
      <c r="G301" s="17">
        <f>E301 * F301 * 19.757466</f>
        <v>19.757466000000001</v>
      </c>
      <c r="H301" s="17">
        <f t="shared" si="42"/>
        <v>0</v>
      </c>
      <c r="I301" s="17">
        <f t="shared" si="36"/>
        <v>0</v>
      </c>
      <c r="J301" s="17">
        <f>E301 * F301 * 19.796981</f>
        <v>19.796980999999999</v>
      </c>
      <c r="K301" s="17">
        <f>E301 * F301 * 6.051831</f>
        <v>6.051831</v>
      </c>
      <c r="L301" s="24">
        <f>M301/E301/F301</f>
        <v>45.606277999999996</v>
      </c>
      <c r="M301" s="18">
        <f>SUM(G301:K301)</f>
        <v>45.606277999999996</v>
      </c>
    </row>
    <row r="302" spans="1:13" ht="25.5">
      <c r="A302" s="12">
        <v>299</v>
      </c>
      <c r="B302" s="13" t="s">
        <v>732</v>
      </c>
      <c r="C302" s="14" t="s">
        <v>733</v>
      </c>
      <c r="D302" s="14" t="s">
        <v>680</v>
      </c>
      <c r="E302" s="15">
        <v>1</v>
      </c>
      <c r="F302" s="16">
        <v>1</v>
      </c>
      <c r="G302" s="17">
        <f>E302 * F302 * 277</f>
        <v>277</v>
      </c>
      <c r="H302" s="17">
        <f t="shared" si="42"/>
        <v>0</v>
      </c>
      <c r="I302" s="17">
        <f t="shared" si="36"/>
        <v>0</v>
      </c>
      <c r="J302" s="17">
        <f>E302 * F302 * 277.554</f>
        <v>277.55399999999997</v>
      </c>
      <c r="K302" s="17">
        <f>E302 * F302 * 84.846762</f>
        <v>84.846761999999998</v>
      </c>
      <c r="L302" s="24">
        <f t="shared" ref="L302:L303" si="43">M302/E302/F302/1000</f>
        <v>0.63940076199999996</v>
      </c>
      <c r="M302" s="18">
        <f>SUM(G302:K302)</f>
        <v>639.40076199999999</v>
      </c>
    </row>
    <row r="303" spans="1:13" ht="38.25">
      <c r="A303" s="12">
        <v>300</v>
      </c>
      <c r="B303" s="13" t="s">
        <v>734</v>
      </c>
      <c r="C303" s="14" t="s">
        <v>735</v>
      </c>
      <c r="D303" s="14" t="s">
        <v>736</v>
      </c>
      <c r="E303" s="15">
        <v>1</v>
      </c>
      <c r="F303" s="16">
        <v>1</v>
      </c>
      <c r="G303" s="17">
        <f>E303 * F303 * 110.8</f>
        <v>110.8</v>
      </c>
      <c r="H303" s="17">
        <f t="shared" si="42"/>
        <v>0</v>
      </c>
      <c r="I303" s="17">
        <f t="shared" si="36"/>
        <v>0</v>
      </c>
      <c r="J303" s="17">
        <f>E303 * F303 * 111.0216</f>
        <v>111.02160000000001</v>
      </c>
      <c r="K303" s="17">
        <f>E303 * F303 * 33.938705</f>
        <v>33.938704999999999</v>
      </c>
      <c r="L303" s="24">
        <f t="shared" si="43"/>
        <v>0.25576030499999997</v>
      </c>
      <c r="M303" s="18">
        <f>SUM(G303:K303)</f>
        <v>255.76030499999999</v>
      </c>
    </row>
    <row r="304" spans="1:13">
      <c r="A304" s="12">
        <v>301</v>
      </c>
      <c r="B304" s="13" t="s">
        <v>737</v>
      </c>
      <c r="C304" s="14" t="s">
        <v>738</v>
      </c>
      <c r="D304" s="14" t="s">
        <v>739</v>
      </c>
      <c r="E304" s="15">
        <v>1</v>
      </c>
      <c r="F304" s="16">
        <v>1</v>
      </c>
      <c r="G304" s="17">
        <f>E304 * F304 * 970.148</f>
        <v>970.14800000000002</v>
      </c>
      <c r="H304" s="17">
        <f t="shared" si="42"/>
        <v>0</v>
      </c>
      <c r="I304" s="17">
        <f t="shared" si="36"/>
        <v>0</v>
      </c>
      <c r="J304" s="17">
        <f>E304 * F304 * 972.088296</f>
        <v>972.08829600000001</v>
      </c>
      <c r="K304" s="17">
        <f>E304 * F304 * 297.162154</f>
        <v>297.16215399999999</v>
      </c>
      <c r="L304" s="24">
        <f>M304/E304/F304</f>
        <v>2239.3984500000001</v>
      </c>
      <c r="M304" s="18">
        <f>SUM(G304:K304)</f>
        <v>2239.3984500000001</v>
      </c>
    </row>
    <row r="305" spans="1:13" ht="25.5">
      <c r="A305" s="12">
        <v>302</v>
      </c>
      <c r="B305" s="13" t="s">
        <v>740</v>
      </c>
      <c r="C305" s="14" t="s">
        <v>741</v>
      </c>
      <c r="D305" s="14" t="s">
        <v>343</v>
      </c>
      <c r="E305" s="15">
        <v>1</v>
      </c>
      <c r="F305" s="16">
        <v>1</v>
      </c>
      <c r="G305" s="17">
        <f>E305 * F305 * 1017.89875</f>
        <v>1017.8987499999999</v>
      </c>
      <c r="H305" s="17">
        <f t="shared" si="42"/>
        <v>0</v>
      </c>
      <c r="I305" s="17">
        <f>E305 * F305 * 13.35</f>
        <v>13.35</v>
      </c>
      <c r="J305" s="17">
        <f>E305 * F305 * 1019.934548</f>
        <v>1019.9345479999999</v>
      </c>
      <c r="K305" s="17">
        <f>E305 * F305 * 313.831045</f>
        <v>313.83104500000002</v>
      </c>
      <c r="L305" s="24">
        <f t="shared" ref="L305:L325" si="44">M305/E305/F305/100</f>
        <v>23.65014343</v>
      </c>
      <c r="M305" s="18">
        <f>SUM(G305:K305)</f>
        <v>2365.0143429999998</v>
      </c>
    </row>
    <row r="306" spans="1:13" ht="25.5">
      <c r="A306" s="12">
        <v>303</v>
      </c>
      <c r="B306" s="13" t="s">
        <v>742</v>
      </c>
      <c r="C306" s="14" t="s">
        <v>743</v>
      </c>
      <c r="D306" s="14" t="s">
        <v>343</v>
      </c>
      <c r="E306" s="15">
        <v>1</v>
      </c>
      <c r="F306" s="16">
        <v>1</v>
      </c>
      <c r="G306" s="17">
        <f>E306 * F306 * 953.123375</f>
        <v>953.12337500000001</v>
      </c>
      <c r="H306" s="17">
        <f>E306 * F306 * 11.465876</f>
        <v>11.465876</v>
      </c>
      <c r="I306" s="17">
        <f>E306 * F306 * 0</f>
        <v>0</v>
      </c>
      <c r="J306" s="17">
        <f>E306 * F306 * 955.029622</f>
        <v>955.02962200000002</v>
      </c>
      <c r="K306" s="17">
        <f>E306 * F306 * 293.701688</f>
        <v>293.70168799999999</v>
      </c>
      <c r="L306" s="24">
        <f t="shared" si="44"/>
        <v>22.133205610000001</v>
      </c>
      <c r="M306" s="18">
        <f>SUM(G306:K306)</f>
        <v>2213.320561</v>
      </c>
    </row>
    <row r="307" spans="1:13" ht="25.5">
      <c r="A307" s="12">
        <v>304</v>
      </c>
      <c r="B307" s="13" t="s">
        <v>744</v>
      </c>
      <c r="C307" s="14" t="s">
        <v>745</v>
      </c>
      <c r="D307" s="14" t="s">
        <v>343</v>
      </c>
      <c r="E307" s="15">
        <v>1</v>
      </c>
      <c r="F307" s="16">
        <v>1</v>
      </c>
      <c r="G307" s="17">
        <f>E307 * F307 * 400.990414</f>
        <v>400.99041399999999</v>
      </c>
      <c r="H307" s="17">
        <f>E307 * F307 * 0</f>
        <v>0</v>
      </c>
      <c r="I307" s="17">
        <f>E307 * F307 * 13.35</f>
        <v>13.35</v>
      </c>
      <c r="J307" s="17">
        <f>E307 * F307 * 401.792395</f>
        <v>401.792395</v>
      </c>
      <c r="K307" s="17">
        <f>E307 * F307 * 124.86832</f>
        <v>124.86832</v>
      </c>
      <c r="L307" s="24">
        <f t="shared" si="44"/>
        <v>9.4100112899999999</v>
      </c>
      <c r="M307" s="18">
        <f>SUM(G307:K307)</f>
        <v>941.00112899999999</v>
      </c>
    </row>
    <row r="308" spans="1:13" ht="25.5">
      <c r="A308" s="12">
        <v>305</v>
      </c>
      <c r="B308" s="13" t="s">
        <v>746</v>
      </c>
      <c r="C308" s="14" t="s">
        <v>747</v>
      </c>
      <c r="D308" s="14" t="s">
        <v>343</v>
      </c>
      <c r="E308" s="15">
        <v>1</v>
      </c>
      <c r="F308" s="16">
        <v>1</v>
      </c>
      <c r="G308" s="17">
        <f>E308 * F308 * 29.10444</f>
        <v>29.10444</v>
      </c>
      <c r="H308" s="17">
        <f>E308 * F308 * 0</f>
        <v>0</v>
      </c>
      <c r="I308" s="17">
        <f t="shared" ref="I308:I339" si="45">E308 * F308 * 0</f>
        <v>0</v>
      </c>
      <c r="J308" s="17">
        <f>E308 * F308 * 29.162649</f>
        <v>29.162648999999998</v>
      </c>
      <c r="K308" s="17">
        <f>E308 * F308 * 8.914865</f>
        <v>8.9148650000000007</v>
      </c>
      <c r="L308" s="24">
        <f t="shared" si="44"/>
        <v>0.67181953999999999</v>
      </c>
      <c r="M308" s="18">
        <f>SUM(G308:K308)</f>
        <v>67.181954000000005</v>
      </c>
    </row>
    <row r="309" spans="1:13" ht="25.5">
      <c r="A309" s="12">
        <v>306</v>
      </c>
      <c r="B309" s="13" t="s">
        <v>748</v>
      </c>
      <c r="C309" s="14" t="s">
        <v>749</v>
      </c>
      <c r="D309" s="14" t="s">
        <v>750</v>
      </c>
      <c r="E309" s="15">
        <v>1</v>
      </c>
      <c r="F309" s="16">
        <v>1</v>
      </c>
      <c r="G309" s="17">
        <f>E309 * F309 * 117.553095</f>
        <v>117.553095</v>
      </c>
      <c r="H309" s="17">
        <f>E309 * F309 * 0</f>
        <v>0</v>
      </c>
      <c r="I309" s="17">
        <f t="shared" si="45"/>
        <v>0</v>
      </c>
      <c r="J309" s="17">
        <f>E309 * F309 * 117.788202</f>
        <v>117.788202</v>
      </c>
      <c r="K309" s="17">
        <f>E309 * F309 * 36.007219</f>
        <v>36.007218999999999</v>
      </c>
      <c r="L309" s="24">
        <f>M309/E309/F309/10</f>
        <v>27.134851600000001</v>
      </c>
      <c r="M309" s="18">
        <f>SUM(G309:K309)</f>
        <v>271.34851600000002</v>
      </c>
    </row>
    <row r="310" spans="1:13" ht="25.5">
      <c r="A310" s="12">
        <v>307</v>
      </c>
      <c r="B310" s="13" t="s">
        <v>751</v>
      </c>
      <c r="C310" s="14" t="s">
        <v>752</v>
      </c>
      <c r="D310" s="14" t="s">
        <v>422</v>
      </c>
      <c r="E310" s="15">
        <v>1</v>
      </c>
      <c r="F310" s="16">
        <v>1</v>
      </c>
      <c r="G310" s="17">
        <f>E310 * F310 * 11641.776</f>
        <v>11641.776</v>
      </c>
      <c r="H310" s="17">
        <f>E310 * F310 * 245.820206</f>
        <v>245.82020600000001</v>
      </c>
      <c r="I310" s="17">
        <f t="shared" si="45"/>
        <v>0</v>
      </c>
      <c r="J310" s="17">
        <f>E310 * F310 * 11665.0595519999</f>
        <v>11665.059551999901</v>
      </c>
      <c r="K310" s="17">
        <f>E310 * F310 * 3603.556331</f>
        <v>3603.5563309999998</v>
      </c>
      <c r="L310" s="24">
        <f t="shared" si="44"/>
        <v>271.56212088999899</v>
      </c>
      <c r="M310" s="18">
        <f>SUM(G310:K310)</f>
        <v>27156.212088999899</v>
      </c>
    </row>
    <row r="311" spans="1:13" ht="25.5">
      <c r="A311" s="12">
        <v>308</v>
      </c>
      <c r="B311" s="13" t="s">
        <v>753</v>
      </c>
      <c r="C311" s="14" t="s">
        <v>754</v>
      </c>
      <c r="D311" s="14" t="s">
        <v>422</v>
      </c>
      <c r="E311" s="15">
        <v>1</v>
      </c>
      <c r="F311" s="16">
        <v>1</v>
      </c>
      <c r="G311" s="17">
        <f>E311 * F311 * 17462.664</f>
        <v>17462.664000000001</v>
      </c>
      <c r="H311" s="17">
        <f>E311 * F311 * 404.658092</f>
        <v>404.65809200000001</v>
      </c>
      <c r="I311" s="17">
        <f t="shared" si="45"/>
        <v>0</v>
      </c>
      <c r="J311" s="17">
        <f>E311 * F311 * 17497.589328</f>
        <v>17497.589327999998</v>
      </c>
      <c r="K311" s="17">
        <f>E311 * F311 * 5410.831447</f>
        <v>5410.8314469999996</v>
      </c>
      <c r="L311" s="24">
        <f t="shared" si="44"/>
        <v>407.75742867000002</v>
      </c>
      <c r="M311" s="18">
        <f>SUM(G311:K311)</f>
        <v>40775.742867000001</v>
      </c>
    </row>
    <row r="312" spans="1:13" ht="25.5">
      <c r="A312" s="12">
        <v>309</v>
      </c>
      <c r="B312" s="13" t="s">
        <v>755</v>
      </c>
      <c r="C312" s="14" t="s">
        <v>756</v>
      </c>
      <c r="D312" s="14" t="s">
        <v>422</v>
      </c>
      <c r="E312" s="15">
        <v>1</v>
      </c>
      <c r="F312" s="16">
        <v>1</v>
      </c>
      <c r="G312" s="17">
        <f>E312 * F312 * 17462.664</f>
        <v>17462.664000000001</v>
      </c>
      <c r="H312" s="17">
        <f>E312 * F312 * 637.714664</f>
        <v>637.71466399999997</v>
      </c>
      <c r="I312" s="17">
        <f t="shared" si="45"/>
        <v>0</v>
      </c>
      <c r="J312" s="17">
        <f>E312 * F312 * 17497.589328</f>
        <v>17497.589327999998</v>
      </c>
      <c r="K312" s="17">
        <f>E312 * F312 * 5446.489103</f>
        <v>5446.4891029999999</v>
      </c>
      <c r="L312" s="24">
        <f t="shared" si="44"/>
        <v>410.44457094999996</v>
      </c>
      <c r="M312" s="18">
        <f>SUM(G312:K312)</f>
        <v>41044.457094999998</v>
      </c>
    </row>
    <row r="313" spans="1:13" ht="25.5">
      <c r="A313" s="12">
        <v>310</v>
      </c>
      <c r="B313" s="13" t="s">
        <v>757</v>
      </c>
      <c r="C313" s="14" t="s">
        <v>758</v>
      </c>
      <c r="D313" s="14" t="s">
        <v>429</v>
      </c>
      <c r="E313" s="15">
        <v>1</v>
      </c>
      <c r="F313" s="16">
        <v>1</v>
      </c>
      <c r="G313" s="17">
        <f>E313 * F313 * 6305.962</f>
        <v>6305.9620000000004</v>
      </c>
      <c r="H313" s="17">
        <f>E313 * F313 * 207.529303</f>
        <v>207.529303</v>
      </c>
      <c r="I313" s="17">
        <f t="shared" si="45"/>
        <v>0</v>
      </c>
      <c r="J313" s="17">
        <f>E313 * F313 * 6318.57392399999</f>
        <v>6318.5739239999903</v>
      </c>
      <c r="K313" s="17">
        <f>E313 * F313 * 1963.305979</f>
        <v>1963.305979</v>
      </c>
      <c r="L313" s="24">
        <f t="shared" si="44"/>
        <v>147.95371205999993</v>
      </c>
      <c r="M313" s="18">
        <f>SUM(G313:K313)</f>
        <v>14795.371205999993</v>
      </c>
    </row>
    <row r="314" spans="1:13" ht="25.5">
      <c r="A314" s="12">
        <v>311</v>
      </c>
      <c r="B314" s="13" t="s">
        <v>759</v>
      </c>
      <c r="C314" s="14" t="s">
        <v>760</v>
      </c>
      <c r="D314" s="14" t="s">
        <v>429</v>
      </c>
      <c r="E314" s="15">
        <v>1</v>
      </c>
      <c r="F314" s="16">
        <v>1</v>
      </c>
      <c r="G314" s="17">
        <f>E314 * F314 * 9458.943</f>
        <v>9458.9429999999993</v>
      </c>
      <c r="H314" s="17">
        <f>E314 * F314 * 233.056572</f>
        <v>233.05657199999999</v>
      </c>
      <c r="I314" s="17">
        <f t="shared" si="45"/>
        <v>0</v>
      </c>
      <c r="J314" s="17">
        <f>E314 * F314 * 9477.860886</f>
        <v>9477.8608860000004</v>
      </c>
      <c r="K314" s="17">
        <f>E314 * F314 * 2932.98865</f>
        <v>2932.9886499999998</v>
      </c>
      <c r="L314" s="24">
        <f t="shared" si="44"/>
        <v>221.02849107999998</v>
      </c>
      <c r="M314" s="18">
        <f>SUM(G314:K314)</f>
        <v>22102.849107999999</v>
      </c>
    </row>
    <row r="315" spans="1:13" ht="25.5">
      <c r="A315" s="12">
        <v>312</v>
      </c>
      <c r="B315" s="13" t="s">
        <v>761</v>
      </c>
      <c r="C315" s="14" t="s">
        <v>762</v>
      </c>
      <c r="D315" s="14" t="s">
        <v>429</v>
      </c>
      <c r="E315" s="15">
        <v>1</v>
      </c>
      <c r="F315" s="16">
        <v>1</v>
      </c>
      <c r="G315" s="17">
        <f>E315 * F315 * 9458.943</f>
        <v>9458.9429999999993</v>
      </c>
      <c r="H315" s="17">
        <f>E315 * F315 * 476.513658</f>
        <v>476.51365800000002</v>
      </c>
      <c r="I315" s="17">
        <f t="shared" si="45"/>
        <v>0</v>
      </c>
      <c r="J315" s="17">
        <f>E315 * F315 * 9477.860886</f>
        <v>9477.8608860000004</v>
      </c>
      <c r="K315" s="17">
        <f>E315 * F315 * 2970.237584</f>
        <v>2970.237584</v>
      </c>
      <c r="L315" s="24">
        <f t="shared" si="44"/>
        <v>223.83555127999998</v>
      </c>
      <c r="M315" s="18">
        <f>SUM(G315:K315)</f>
        <v>22383.555127999996</v>
      </c>
    </row>
    <row r="316" spans="1:13" ht="25.5">
      <c r="A316" s="12">
        <v>313</v>
      </c>
      <c r="B316" s="13" t="s">
        <v>763</v>
      </c>
      <c r="C316" s="14" t="s">
        <v>764</v>
      </c>
      <c r="D316" s="14" t="s">
        <v>765</v>
      </c>
      <c r="E316" s="15">
        <v>1</v>
      </c>
      <c r="F316" s="16">
        <v>1</v>
      </c>
      <c r="G316" s="17">
        <f>E316 * F316 * 38.80592</f>
        <v>38.80592</v>
      </c>
      <c r="H316" s="17">
        <f>E316 * F316 * 61.823112</f>
        <v>61.823112000000002</v>
      </c>
      <c r="I316" s="17">
        <f t="shared" si="45"/>
        <v>0</v>
      </c>
      <c r="J316" s="17">
        <f>E316 * F316 * 38.883532</f>
        <v>38.883532000000002</v>
      </c>
      <c r="K316" s="17">
        <f>E316 * F316 * 21.345423</f>
        <v>21.345423</v>
      </c>
      <c r="L316" s="24">
        <f>M316/E316/F316</f>
        <v>160.85798700000001</v>
      </c>
      <c r="M316" s="18">
        <f>SUM(G316:K316)</f>
        <v>160.85798700000001</v>
      </c>
    </row>
    <row r="317" spans="1:13">
      <c r="A317" s="12">
        <v>314</v>
      </c>
      <c r="B317" s="13" t="s">
        <v>766</v>
      </c>
      <c r="C317" s="14" t="s">
        <v>767</v>
      </c>
      <c r="D317" s="14" t="s">
        <v>768</v>
      </c>
      <c r="E317" s="15">
        <v>1</v>
      </c>
      <c r="F317" s="16">
        <v>1</v>
      </c>
      <c r="G317" s="17">
        <f>E317 * F317 * 858.7</f>
        <v>858.7</v>
      </c>
      <c r="H317" s="17">
        <f>E317 * F317 * 859.095792</f>
        <v>859.09579199999996</v>
      </c>
      <c r="I317" s="17">
        <f t="shared" si="45"/>
        <v>0</v>
      </c>
      <c r="J317" s="17">
        <f>E317 * F317 * 860.4174</f>
        <v>860.41740000000004</v>
      </c>
      <c r="K317" s="17">
        <f>E317 * F317 * 394.466618</f>
        <v>394.46661799999998</v>
      </c>
      <c r="L317" s="24">
        <f t="shared" si="44"/>
        <v>29.7267981</v>
      </c>
      <c r="M317" s="18">
        <f>SUM(G317:K317)</f>
        <v>2972.6798100000001</v>
      </c>
    </row>
    <row r="318" spans="1:13" ht="25.5">
      <c r="A318" s="12">
        <v>315</v>
      </c>
      <c r="B318" s="13" t="s">
        <v>769</v>
      </c>
      <c r="C318" s="14" t="s">
        <v>770</v>
      </c>
      <c r="D318" s="14" t="s">
        <v>370</v>
      </c>
      <c r="E318" s="15">
        <v>1</v>
      </c>
      <c r="F318" s="16">
        <v>1</v>
      </c>
      <c r="G318" s="17">
        <f>E318 * F318 * 7487.475</f>
        <v>7487.4750000000004</v>
      </c>
      <c r="H318" s="17">
        <f>E318 * F318 * 24109.81392</f>
        <v>24109.813920000001</v>
      </c>
      <c r="I318" s="17">
        <f t="shared" si="45"/>
        <v>0</v>
      </c>
      <c r="J318" s="17">
        <f>E318 * F318 * 7502.44995</f>
        <v>7502.4499500000002</v>
      </c>
      <c r="K318" s="17">
        <f>E318 * F318 * 5982.260047</f>
        <v>5982.2600469999998</v>
      </c>
      <c r="L318" s="24">
        <f t="shared" si="44"/>
        <v>450.81998917000004</v>
      </c>
      <c r="M318" s="18">
        <f>SUM(G318:K318)</f>
        <v>45081.998917000004</v>
      </c>
    </row>
    <row r="319" spans="1:13">
      <c r="A319" s="12">
        <v>316</v>
      </c>
      <c r="B319" s="13" t="s">
        <v>771</v>
      </c>
      <c r="C319" s="14" t="s">
        <v>772</v>
      </c>
      <c r="D319" s="14" t="s">
        <v>370</v>
      </c>
      <c r="E319" s="15">
        <v>1</v>
      </c>
      <c r="F319" s="16">
        <v>1</v>
      </c>
      <c r="G319" s="17">
        <f>E319 * F319 * 0</f>
        <v>0</v>
      </c>
      <c r="H319" s="17">
        <f>E319 * F319 * 6101.565144</f>
        <v>6101.5651440000001</v>
      </c>
      <c r="I319" s="17">
        <f t="shared" si="45"/>
        <v>0</v>
      </c>
      <c r="J319" s="17">
        <f>E319 * F319 * 0</f>
        <v>0</v>
      </c>
      <c r="K319" s="17">
        <f>E319 * F319 * 933.539467</f>
        <v>933.53946699999995</v>
      </c>
      <c r="L319" s="24">
        <f t="shared" si="44"/>
        <v>70.351046109999999</v>
      </c>
      <c r="M319" s="18">
        <f>SUM(G319:K319)</f>
        <v>7035.1046109999997</v>
      </c>
    </row>
    <row r="320" spans="1:13" ht="25.5">
      <c r="A320" s="12">
        <v>317</v>
      </c>
      <c r="B320" s="13" t="s">
        <v>773</v>
      </c>
      <c r="C320" s="14" t="s">
        <v>774</v>
      </c>
      <c r="D320" s="14" t="s">
        <v>775</v>
      </c>
      <c r="E320" s="15">
        <v>1</v>
      </c>
      <c r="F320" s="16">
        <v>1</v>
      </c>
      <c r="G320" s="17">
        <f>E320 * F320 * 13582.072</f>
        <v>13582.072</v>
      </c>
      <c r="H320" s="17">
        <f>E320 * F320 * 0</f>
        <v>0</v>
      </c>
      <c r="I320" s="17">
        <f t="shared" si="45"/>
        <v>0</v>
      </c>
      <c r="J320" s="17">
        <f>E320 * F320 * 13609.2361439999</f>
        <v>13609.2361439999</v>
      </c>
      <c r="K320" s="17">
        <f>E320 * F320 * 4160.270146</f>
        <v>4160.2701459999998</v>
      </c>
      <c r="L320" s="24">
        <f t="shared" si="44"/>
        <v>313.51578289999901</v>
      </c>
      <c r="M320" s="18">
        <f>SUM(G320:K320)</f>
        <v>31351.578289999899</v>
      </c>
    </row>
    <row r="321" spans="1:13" ht="25.5">
      <c r="A321" s="12">
        <v>318</v>
      </c>
      <c r="B321" s="13" t="s">
        <v>776</v>
      </c>
      <c r="C321" s="14" t="s">
        <v>777</v>
      </c>
      <c r="D321" s="14" t="s">
        <v>365</v>
      </c>
      <c r="E321" s="15">
        <v>1</v>
      </c>
      <c r="F321" s="16">
        <v>1</v>
      </c>
      <c r="G321" s="17">
        <f>E321 * F321 * 4608.203</f>
        <v>4608.2030000000004</v>
      </c>
      <c r="H321" s="17">
        <f>E321 * F321 * 0</f>
        <v>0</v>
      </c>
      <c r="I321" s="17">
        <f t="shared" si="45"/>
        <v>0</v>
      </c>
      <c r="J321" s="17">
        <f>E321 * F321 * 4617.419406</f>
        <v>4617.419406</v>
      </c>
      <c r="K321" s="17">
        <f>E321 * F321 * 1411.520228</f>
        <v>1411.5202280000001</v>
      </c>
      <c r="L321" s="24">
        <f t="shared" si="44"/>
        <v>106.37142634</v>
      </c>
      <c r="M321" s="18">
        <f>SUM(G321:K321)</f>
        <v>10637.142634</v>
      </c>
    </row>
    <row r="322" spans="1:13">
      <c r="A322" s="12">
        <v>319</v>
      </c>
      <c r="B322" s="13" t="s">
        <v>778</v>
      </c>
      <c r="C322" s="14" t="s">
        <v>779</v>
      </c>
      <c r="D322" s="14" t="s">
        <v>422</v>
      </c>
      <c r="E322" s="15">
        <v>1</v>
      </c>
      <c r="F322" s="16">
        <v>1</v>
      </c>
      <c r="G322" s="17">
        <f>E322 * F322 * 12126.85</f>
        <v>12126.85</v>
      </c>
      <c r="H322" s="17">
        <f>E322 * F322 * 21572.208828</f>
        <v>21572.208827999999</v>
      </c>
      <c r="I322" s="17">
        <f t="shared" si="45"/>
        <v>0</v>
      </c>
      <c r="J322" s="17">
        <f>E322 * F322 * 12151.1037</f>
        <v>12151.1037</v>
      </c>
      <c r="K322" s="17">
        <f>E322 * F322 * 7015.074866</f>
        <v>7015.0748659999999</v>
      </c>
      <c r="L322" s="24">
        <f t="shared" si="44"/>
        <v>528.65237394000007</v>
      </c>
      <c r="M322" s="18">
        <f>SUM(G322:K322)</f>
        <v>52865.237394000003</v>
      </c>
    </row>
    <row r="323" spans="1:13" ht="25.5">
      <c r="A323" s="12">
        <v>320</v>
      </c>
      <c r="B323" s="13" t="s">
        <v>780</v>
      </c>
      <c r="C323" s="14" t="s">
        <v>781</v>
      </c>
      <c r="D323" s="14" t="s">
        <v>343</v>
      </c>
      <c r="E323" s="15">
        <v>1</v>
      </c>
      <c r="F323" s="16">
        <v>1</v>
      </c>
      <c r="G323" s="17">
        <f>E323 * F323 * 7662.92175</f>
        <v>7662.9217500000004</v>
      </c>
      <c r="H323" s="17">
        <f>E323 * F323 * 2632.97033999999</f>
        <v>2632.9703399999999</v>
      </c>
      <c r="I323" s="17">
        <f t="shared" si="45"/>
        <v>0</v>
      </c>
      <c r="J323" s="17">
        <f>E323 * F323 * 7678.247594</f>
        <v>7678.2475940000004</v>
      </c>
      <c r="K323" s="17">
        <f>E323 * F323 * 2750.043372</f>
        <v>2750.0433720000001</v>
      </c>
      <c r="L323" s="24">
        <f t="shared" si="44"/>
        <v>207.24183056000001</v>
      </c>
      <c r="M323" s="18">
        <f>SUM(G323:K323)</f>
        <v>20724.183056000002</v>
      </c>
    </row>
    <row r="324" spans="1:13" ht="25.5">
      <c r="A324" s="12">
        <v>321</v>
      </c>
      <c r="B324" s="13" t="s">
        <v>782</v>
      </c>
      <c r="C324" s="14" t="s">
        <v>783</v>
      </c>
      <c r="D324" s="14" t="s">
        <v>343</v>
      </c>
      <c r="E324" s="15">
        <v>1</v>
      </c>
      <c r="F324" s="16">
        <v>1</v>
      </c>
      <c r="G324" s="17">
        <f>E324 * F324 * 7662.92175</f>
        <v>7662.9217500000004</v>
      </c>
      <c r="H324" s="17">
        <f>E324 * F324 * 3522.02526</f>
        <v>3522.0252599999999</v>
      </c>
      <c r="I324" s="17">
        <f t="shared" si="45"/>
        <v>0</v>
      </c>
      <c r="J324" s="17">
        <f>E324 * F324 * 7678.247594</f>
        <v>7678.2475940000004</v>
      </c>
      <c r="K324" s="17">
        <f>E324 * F324 * 2886.068774</f>
        <v>2886.0687739999998</v>
      </c>
      <c r="L324" s="24">
        <f t="shared" si="44"/>
        <v>217.49263378000001</v>
      </c>
      <c r="M324" s="18">
        <f>SUM(G324:K324)</f>
        <v>21749.263378</v>
      </c>
    </row>
    <row r="325" spans="1:13" ht="25.5">
      <c r="A325" s="12">
        <v>322</v>
      </c>
      <c r="B325" s="13" t="s">
        <v>784</v>
      </c>
      <c r="C325" s="14" t="s">
        <v>785</v>
      </c>
      <c r="D325" s="14" t="s">
        <v>343</v>
      </c>
      <c r="E325" s="15">
        <v>1</v>
      </c>
      <c r="F325" s="16">
        <v>1</v>
      </c>
      <c r="G325" s="17">
        <f>E325 * F325 * 7662.92175</f>
        <v>7662.9217500000004</v>
      </c>
      <c r="H325" s="17">
        <f>E325 * F325 * 4992.38532</f>
        <v>4992.3853200000003</v>
      </c>
      <c r="I325" s="17">
        <f t="shared" si="45"/>
        <v>0</v>
      </c>
      <c r="J325" s="17">
        <f>E325 * F325 * 7678.247594</f>
        <v>7678.2475940000004</v>
      </c>
      <c r="K325" s="17">
        <f>E325 * F325 * 3111.033864</f>
        <v>3111.033864</v>
      </c>
      <c r="L325" s="24">
        <f t="shared" si="44"/>
        <v>234.44588528000003</v>
      </c>
      <c r="M325" s="18">
        <f>SUM(G325:K325)</f>
        <v>23444.588528000004</v>
      </c>
    </row>
    <row r="326" spans="1:13" ht="38.25">
      <c r="A326" s="12">
        <v>323</v>
      </c>
      <c r="B326" s="13" t="s">
        <v>786</v>
      </c>
      <c r="C326" s="14" t="s">
        <v>787</v>
      </c>
      <c r="D326" s="14" t="s">
        <v>788</v>
      </c>
      <c r="E326" s="15">
        <v>1</v>
      </c>
      <c r="F326" s="16">
        <v>1</v>
      </c>
      <c r="G326" s="17">
        <f>E326 * F326 * 27.38255</f>
        <v>27.382549999999998</v>
      </c>
      <c r="H326" s="17">
        <f t="shared" ref="H326:H354" si="46">E326 * F326 * 0</f>
        <v>0</v>
      </c>
      <c r="I326" s="17">
        <f t="shared" si="45"/>
        <v>0</v>
      </c>
      <c r="J326" s="17">
        <f>E326 * F326 * 27.4373149999999</f>
        <v>27.437314999999899</v>
      </c>
      <c r="K326" s="17">
        <f>E326 * F326 * 8.38744</f>
        <v>8.3874399999999998</v>
      </c>
      <c r="L326" s="24">
        <f>M326/E326/F326</f>
        <v>63.207304999999891</v>
      </c>
      <c r="M326" s="18">
        <f>SUM(G326:K326)</f>
        <v>63.207304999999891</v>
      </c>
    </row>
    <row r="327" spans="1:13" ht="25.5">
      <c r="A327" s="12">
        <v>324</v>
      </c>
      <c r="B327" s="13" t="s">
        <v>789</v>
      </c>
      <c r="C327" s="14" t="s">
        <v>790</v>
      </c>
      <c r="D327" s="14" t="s">
        <v>788</v>
      </c>
      <c r="E327" s="15">
        <v>1</v>
      </c>
      <c r="F327" s="16">
        <v>1</v>
      </c>
      <c r="G327" s="17">
        <f>E327 * F327 * 24.2537</f>
        <v>24.253699999999998</v>
      </c>
      <c r="H327" s="17">
        <f t="shared" si="46"/>
        <v>0</v>
      </c>
      <c r="I327" s="17">
        <f t="shared" si="45"/>
        <v>0</v>
      </c>
      <c r="J327" s="17">
        <f>E327 * F327 * 24.302207</f>
        <v>24.302206999999999</v>
      </c>
      <c r="K327" s="17">
        <f>E327 * F327 * 7.429054</f>
        <v>7.4290539999999998</v>
      </c>
      <c r="L327" s="24">
        <f t="shared" ref="L327:L346" si="47">M327/E327/F327</f>
        <v>55.984960999999998</v>
      </c>
      <c r="M327" s="18">
        <f>SUM(G327:K327)</f>
        <v>55.984960999999998</v>
      </c>
    </row>
    <row r="328" spans="1:13" ht="38.25">
      <c r="A328" s="12">
        <v>325</v>
      </c>
      <c r="B328" s="13" t="s">
        <v>791</v>
      </c>
      <c r="C328" s="14" t="s">
        <v>792</v>
      </c>
      <c r="D328" s="14" t="s">
        <v>788</v>
      </c>
      <c r="E328" s="15">
        <v>1</v>
      </c>
      <c r="F328" s="16">
        <v>1</v>
      </c>
      <c r="G328" s="17">
        <f>E328 * F328 * 72.7611</f>
        <v>72.761099999999999</v>
      </c>
      <c r="H328" s="17">
        <f t="shared" si="46"/>
        <v>0</v>
      </c>
      <c r="I328" s="17">
        <f t="shared" si="45"/>
        <v>0</v>
      </c>
      <c r="J328" s="17">
        <f>E328 * F328 * 72.906622</f>
        <v>72.906621999999999</v>
      </c>
      <c r="K328" s="17">
        <f>E328 * F328 * 22.287162</f>
        <v>22.287161999999999</v>
      </c>
      <c r="L328" s="24">
        <f t="shared" si="47"/>
        <v>167.95488399999999</v>
      </c>
      <c r="M328" s="18">
        <f>SUM(G328:K328)</f>
        <v>167.95488399999999</v>
      </c>
    </row>
    <row r="329" spans="1:13" ht="38.25">
      <c r="A329" s="12">
        <v>326</v>
      </c>
      <c r="B329" s="13" t="s">
        <v>793</v>
      </c>
      <c r="C329" s="14" t="s">
        <v>794</v>
      </c>
      <c r="D329" s="14" t="s">
        <v>795</v>
      </c>
      <c r="E329" s="15">
        <v>1</v>
      </c>
      <c r="F329" s="16">
        <v>1</v>
      </c>
      <c r="G329" s="17">
        <f>E329 * F329 * 145.127515</f>
        <v>145.12751499999999</v>
      </c>
      <c r="H329" s="17">
        <f t="shared" si="46"/>
        <v>0</v>
      </c>
      <c r="I329" s="17">
        <f t="shared" si="45"/>
        <v>0</v>
      </c>
      <c r="J329" s="17">
        <f>E329 * F329 * 145.417771</f>
        <v>145.41777099999999</v>
      </c>
      <c r="K329" s="17">
        <f>E329 * F329 * 44.453428</f>
        <v>44.453428000000002</v>
      </c>
      <c r="L329" s="24">
        <f t="shared" si="47"/>
        <v>334.99871399999995</v>
      </c>
      <c r="M329" s="18">
        <f>SUM(G329:K329)</f>
        <v>334.99871399999995</v>
      </c>
    </row>
    <row r="330" spans="1:13" ht="25.5">
      <c r="A330" s="12">
        <v>327</v>
      </c>
      <c r="B330" s="13" t="s">
        <v>796</v>
      </c>
      <c r="C330" s="14" t="s">
        <v>797</v>
      </c>
      <c r="D330" s="14" t="s">
        <v>795</v>
      </c>
      <c r="E330" s="15">
        <v>1</v>
      </c>
      <c r="F330" s="16">
        <v>1</v>
      </c>
      <c r="G330" s="17">
        <f>E330 * F330 * 273.8255</f>
        <v>273.82549999999998</v>
      </c>
      <c r="H330" s="17">
        <f t="shared" si="46"/>
        <v>0</v>
      </c>
      <c r="I330" s="17">
        <f t="shared" si="45"/>
        <v>0</v>
      </c>
      <c r="J330" s="17">
        <f>E330 * F330 * 274.373151</f>
        <v>274.37315100000001</v>
      </c>
      <c r="K330" s="17">
        <f>E330 * F330 * 83.874393</f>
        <v>83.874392999999998</v>
      </c>
      <c r="L330" s="24">
        <f t="shared" si="47"/>
        <v>632.07304399999998</v>
      </c>
      <c r="M330" s="18">
        <f>SUM(G330:K330)</f>
        <v>632.07304399999998</v>
      </c>
    </row>
    <row r="331" spans="1:13" ht="25.5">
      <c r="A331" s="12">
        <v>328</v>
      </c>
      <c r="B331" s="13" t="s">
        <v>798</v>
      </c>
      <c r="C331" s="14" t="s">
        <v>799</v>
      </c>
      <c r="D331" s="14" t="s">
        <v>788</v>
      </c>
      <c r="E331" s="15">
        <v>1</v>
      </c>
      <c r="F331" s="16">
        <v>1</v>
      </c>
      <c r="G331" s="17">
        <f>E331 * F331 * 54.7651</f>
        <v>54.765099999999997</v>
      </c>
      <c r="H331" s="17">
        <f t="shared" si="46"/>
        <v>0</v>
      </c>
      <c r="I331" s="17">
        <f t="shared" si="45"/>
        <v>0</v>
      </c>
      <c r="J331" s="17">
        <f>E331 * F331 * 54.8746299999999</f>
        <v>54.874629999999897</v>
      </c>
      <c r="K331" s="17">
        <f>E331 * F331 * 16.774879</f>
        <v>16.774878999999999</v>
      </c>
      <c r="L331" s="24">
        <f t="shared" si="47"/>
        <v>126.4146089999999</v>
      </c>
      <c r="M331" s="18">
        <f>SUM(G331:K331)</f>
        <v>126.4146089999999</v>
      </c>
    </row>
    <row r="332" spans="1:13" ht="25.5">
      <c r="A332" s="12">
        <v>329</v>
      </c>
      <c r="B332" s="13" t="s">
        <v>800</v>
      </c>
      <c r="C332" s="14" t="s">
        <v>801</v>
      </c>
      <c r="D332" s="14" t="s">
        <v>788</v>
      </c>
      <c r="E332" s="15">
        <v>1</v>
      </c>
      <c r="F332" s="16">
        <v>1</v>
      </c>
      <c r="G332" s="17">
        <f>E332 * F332 * 197.15436</f>
        <v>197.15436</v>
      </c>
      <c r="H332" s="17">
        <f t="shared" si="46"/>
        <v>0</v>
      </c>
      <c r="I332" s="17">
        <f t="shared" si="45"/>
        <v>0</v>
      </c>
      <c r="J332" s="17">
        <f>E332 * F332 * 197.548669</f>
        <v>197.54866899999999</v>
      </c>
      <c r="K332" s="17">
        <f>E332 * F332 * 60.3895629999999</f>
        <v>60.389562999999903</v>
      </c>
      <c r="L332" s="24">
        <f t="shared" si="47"/>
        <v>455.09259199999991</v>
      </c>
      <c r="M332" s="18">
        <f>SUM(G332:K332)</f>
        <v>455.09259199999991</v>
      </c>
    </row>
    <row r="333" spans="1:13" ht="25.5">
      <c r="A333" s="12">
        <v>330</v>
      </c>
      <c r="B333" s="13" t="s">
        <v>802</v>
      </c>
      <c r="C333" s="14" t="s">
        <v>803</v>
      </c>
      <c r="D333" s="14" t="s">
        <v>788</v>
      </c>
      <c r="E333" s="15">
        <v>1</v>
      </c>
      <c r="F333" s="16">
        <v>1</v>
      </c>
      <c r="G333" s="17">
        <f>E333 * F333 * 27.38255</f>
        <v>27.382549999999998</v>
      </c>
      <c r="H333" s="17">
        <f t="shared" si="46"/>
        <v>0</v>
      </c>
      <c r="I333" s="17">
        <f t="shared" si="45"/>
        <v>0</v>
      </c>
      <c r="J333" s="17">
        <f>E333 * F333 * 27.4373149999999</f>
        <v>27.437314999999899</v>
      </c>
      <c r="K333" s="17">
        <f>E333 * F333 * 8.38744</f>
        <v>8.3874399999999998</v>
      </c>
      <c r="L333" s="24">
        <f t="shared" si="47"/>
        <v>63.207304999999891</v>
      </c>
      <c r="M333" s="18">
        <f>SUM(G333:K333)</f>
        <v>63.207304999999891</v>
      </c>
    </row>
    <row r="334" spans="1:13" ht="25.5">
      <c r="A334" s="12">
        <v>331</v>
      </c>
      <c r="B334" s="13" t="s">
        <v>804</v>
      </c>
      <c r="C334" s="14" t="s">
        <v>805</v>
      </c>
      <c r="D334" s="14" t="s">
        <v>806</v>
      </c>
      <c r="E334" s="15">
        <v>1</v>
      </c>
      <c r="F334" s="16">
        <v>1</v>
      </c>
      <c r="G334" s="17">
        <f>E334 * F334 * 27.38255</f>
        <v>27.382549999999998</v>
      </c>
      <c r="H334" s="17">
        <f t="shared" si="46"/>
        <v>0</v>
      </c>
      <c r="I334" s="17">
        <f t="shared" si="45"/>
        <v>0</v>
      </c>
      <c r="J334" s="17">
        <f>E334 * F334 * 27.4373149999999</f>
        <v>27.437314999999899</v>
      </c>
      <c r="K334" s="17">
        <f>E334 * F334 * 8.38744</f>
        <v>8.3874399999999998</v>
      </c>
      <c r="L334" s="24">
        <f t="shared" si="47"/>
        <v>63.207304999999891</v>
      </c>
      <c r="M334" s="18">
        <f>SUM(G334:K334)</f>
        <v>63.207304999999891</v>
      </c>
    </row>
    <row r="335" spans="1:13" ht="25.5">
      <c r="A335" s="12">
        <v>332</v>
      </c>
      <c r="B335" s="13" t="s">
        <v>807</v>
      </c>
      <c r="C335" s="14" t="s">
        <v>808</v>
      </c>
      <c r="D335" s="14" t="s">
        <v>806</v>
      </c>
      <c r="E335" s="15">
        <v>1</v>
      </c>
      <c r="F335" s="16">
        <v>1</v>
      </c>
      <c r="G335" s="17">
        <f>E335 * F335 * 24.2537</f>
        <v>24.253699999999998</v>
      </c>
      <c r="H335" s="17">
        <f t="shared" si="46"/>
        <v>0</v>
      </c>
      <c r="I335" s="17">
        <f t="shared" si="45"/>
        <v>0</v>
      </c>
      <c r="J335" s="17">
        <f>E335 * F335 * 24.302207</f>
        <v>24.302206999999999</v>
      </c>
      <c r="K335" s="17">
        <f>E335 * F335 * 7.429054</f>
        <v>7.4290539999999998</v>
      </c>
      <c r="L335" s="24">
        <f t="shared" si="47"/>
        <v>55.984960999999998</v>
      </c>
      <c r="M335" s="18">
        <f>SUM(G335:K335)</f>
        <v>55.984960999999998</v>
      </c>
    </row>
    <row r="336" spans="1:13" ht="38.25">
      <c r="A336" s="12">
        <v>333</v>
      </c>
      <c r="B336" s="13" t="s">
        <v>809</v>
      </c>
      <c r="C336" s="14" t="s">
        <v>810</v>
      </c>
      <c r="D336" s="14" t="s">
        <v>806</v>
      </c>
      <c r="E336" s="15">
        <v>1</v>
      </c>
      <c r="F336" s="16">
        <v>1</v>
      </c>
      <c r="G336" s="17">
        <f>E336 * F336 * 72.7611</f>
        <v>72.761099999999999</v>
      </c>
      <c r="H336" s="17">
        <f t="shared" si="46"/>
        <v>0</v>
      </c>
      <c r="I336" s="17">
        <f t="shared" si="45"/>
        <v>0</v>
      </c>
      <c r="J336" s="17">
        <f>E336 * F336 * 72.906622</f>
        <v>72.906621999999999</v>
      </c>
      <c r="K336" s="17">
        <f>E336 * F336 * 22.287162</f>
        <v>22.287161999999999</v>
      </c>
      <c r="L336" s="24">
        <f t="shared" si="47"/>
        <v>167.95488399999999</v>
      </c>
      <c r="M336" s="18">
        <f>SUM(G336:K336)</f>
        <v>167.95488399999999</v>
      </c>
    </row>
    <row r="337" spans="1:13" ht="38.25">
      <c r="A337" s="12">
        <v>334</v>
      </c>
      <c r="B337" s="13" t="s">
        <v>811</v>
      </c>
      <c r="C337" s="14" t="s">
        <v>812</v>
      </c>
      <c r="D337" s="14" t="s">
        <v>795</v>
      </c>
      <c r="E337" s="15">
        <v>1</v>
      </c>
      <c r="F337" s="16">
        <v>1</v>
      </c>
      <c r="G337" s="17">
        <f>E337 * F337 * 145.127515</f>
        <v>145.12751499999999</v>
      </c>
      <c r="H337" s="17">
        <f t="shared" si="46"/>
        <v>0</v>
      </c>
      <c r="I337" s="17">
        <f t="shared" si="45"/>
        <v>0</v>
      </c>
      <c r="J337" s="17">
        <f>E337 * F337 * 145.417771</f>
        <v>145.41777099999999</v>
      </c>
      <c r="K337" s="17">
        <f>E337 * F337 * 44.453428</f>
        <v>44.453428000000002</v>
      </c>
      <c r="L337" s="24">
        <f t="shared" si="47"/>
        <v>334.99871399999995</v>
      </c>
      <c r="M337" s="18">
        <f>SUM(G337:K337)</f>
        <v>334.99871399999995</v>
      </c>
    </row>
    <row r="338" spans="1:13" ht="25.5">
      <c r="A338" s="12">
        <v>335</v>
      </c>
      <c r="B338" s="13" t="s">
        <v>813</v>
      </c>
      <c r="C338" s="14" t="s">
        <v>814</v>
      </c>
      <c r="D338" s="14" t="s">
        <v>795</v>
      </c>
      <c r="E338" s="15">
        <v>1</v>
      </c>
      <c r="F338" s="16">
        <v>1</v>
      </c>
      <c r="G338" s="17">
        <f>E338 * F338 * 273.8255</f>
        <v>273.82549999999998</v>
      </c>
      <c r="H338" s="17">
        <f t="shared" si="46"/>
        <v>0</v>
      </c>
      <c r="I338" s="17">
        <f t="shared" si="45"/>
        <v>0</v>
      </c>
      <c r="J338" s="17">
        <f>E338 * F338 * 274.373151</f>
        <v>274.37315100000001</v>
      </c>
      <c r="K338" s="17">
        <f>E338 * F338 * 83.874393</f>
        <v>83.874392999999998</v>
      </c>
      <c r="L338" s="24">
        <f t="shared" si="47"/>
        <v>632.07304399999998</v>
      </c>
      <c r="M338" s="18">
        <f>SUM(G338:K338)</f>
        <v>632.07304399999998</v>
      </c>
    </row>
    <row r="339" spans="1:13" ht="25.5">
      <c r="A339" s="12">
        <v>336</v>
      </c>
      <c r="B339" s="13" t="s">
        <v>815</v>
      </c>
      <c r="C339" s="14" t="s">
        <v>816</v>
      </c>
      <c r="D339" s="14" t="s">
        <v>806</v>
      </c>
      <c r="E339" s="15">
        <v>1</v>
      </c>
      <c r="F339" s="16">
        <v>1</v>
      </c>
      <c r="G339" s="17">
        <f>E339 * F339 * 54.7651</f>
        <v>54.765099999999997</v>
      </c>
      <c r="H339" s="17">
        <f t="shared" si="46"/>
        <v>0</v>
      </c>
      <c r="I339" s="17">
        <f t="shared" si="45"/>
        <v>0</v>
      </c>
      <c r="J339" s="17">
        <f>E339 * F339 * 54.8746299999999</f>
        <v>54.874629999999897</v>
      </c>
      <c r="K339" s="17">
        <f>E339 * F339 * 16.774879</f>
        <v>16.774878999999999</v>
      </c>
      <c r="L339" s="24">
        <f t="shared" si="47"/>
        <v>126.4146089999999</v>
      </c>
      <c r="M339" s="18">
        <f>SUM(G339:K339)</f>
        <v>126.4146089999999</v>
      </c>
    </row>
    <row r="340" spans="1:13" ht="38.25">
      <c r="A340" s="12">
        <v>337</v>
      </c>
      <c r="B340" s="13" t="s">
        <v>817</v>
      </c>
      <c r="C340" s="14" t="s">
        <v>818</v>
      </c>
      <c r="D340" s="14" t="s">
        <v>806</v>
      </c>
      <c r="E340" s="15">
        <v>1</v>
      </c>
      <c r="F340" s="16">
        <v>1</v>
      </c>
      <c r="G340" s="17">
        <f>E340 * F340 * 197.15436</f>
        <v>197.15436</v>
      </c>
      <c r="H340" s="17">
        <f t="shared" si="46"/>
        <v>0</v>
      </c>
      <c r="I340" s="17">
        <f t="shared" ref="I340:I373" si="48">E340 * F340 * 0</f>
        <v>0</v>
      </c>
      <c r="J340" s="17">
        <f>E340 * F340 * 197.548669</f>
        <v>197.54866899999999</v>
      </c>
      <c r="K340" s="17">
        <f>E340 * F340 * 60.3895629999999</f>
        <v>60.389562999999903</v>
      </c>
      <c r="L340" s="24">
        <f t="shared" si="47"/>
        <v>455.09259199999991</v>
      </c>
      <c r="M340" s="18">
        <f>SUM(G340:K340)</f>
        <v>455.09259199999991</v>
      </c>
    </row>
    <row r="341" spans="1:13" ht="38.25">
      <c r="A341" s="12">
        <v>338</v>
      </c>
      <c r="B341" s="13" t="s">
        <v>819</v>
      </c>
      <c r="C341" s="14" t="s">
        <v>820</v>
      </c>
      <c r="D341" s="14" t="s">
        <v>806</v>
      </c>
      <c r="E341" s="15">
        <v>1</v>
      </c>
      <c r="F341" s="16">
        <v>1</v>
      </c>
      <c r="G341" s="17">
        <f>E341 * F341 * 27.38255</f>
        <v>27.382549999999998</v>
      </c>
      <c r="H341" s="17">
        <f t="shared" si="46"/>
        <v>0</v>
      </c>
      <c r="I341" s="17">
        <f t="shared" si="48"/>
        <v>0</v>
      </c>
      <c r="J341" s="17">
        <f>E341 * F341 * 27.4373149999999</f>
        <v>27.437314999999899</v>
      </c>
      <c r="K341" s="17">
        <f>E341 * F341 * 8.38744</f>
        <v>8.3874399999999998</v>
      </c>
      <c r="L341" s="24">
        <f t="shared" si="47"/>
        <v>63.207304999999891</v>
      </c>
      <c r="M341" s="18">
        <f>SUM(G341:K341)</f>
        <v>63.207304999999891</v>
      </c>
    </row>
    <row r="342" spans="1:13" ht="25.5">
      <c r="A342" s="12">
        <v>339</v>
      </c>
      <c r="B342" s="13" t="s">
        <v>821</v>
      </c>
      <c r="C342" s="14" t="s">
        <v>822</v>
      </c>
      <c r="D342" s="14" t="s">
        <v>806</v>
      </c>
      <c r="E342" s="15">
        <v>1</v>
      </c>
      <c r="F342" s="16">
        <v>1</v>
      </c>
      <c r="G342" s="17">
        <f>E342 * F342 * 273.8255</f>
        <v>273.82549999999998</v>
      </c>
      <c r="H342" s="17">
        <f t="shared" si="46"/>
        <v>0</v>
      </c>
      <c r="I342" s="17">
        <f t="shared" si="48"/>
        <v>0</v>
      </c>
      <c r="J342" s="17">
        <f>E342 * F342 * 274.373151</f>
        <v>274.37315100000001</v>
      </c>
      <c r="K342" s="17">
        <f>E342 * F342 * 83.874393</f>
        <v>83.874392999999998</v>
      </c>
      <c r="L342" s="24">
        <f t="shared" si="47"/>
        <v>632.07304399999998</v>
      </c>
      <c r="M342" s="18">
        <f>SUM(G342:K342)</f>
        <v>632.07304399999998</v>
      </c>
    </row>
    <row r="343" spans="1:13" ht="38.25">
      <c r="A343" s="12">
        <v>340</v>
      </c>
      <c r="B343" s="13" t="s">
        <v>823</v>
      </c>
      <c r="C343" s="14" t="s">
        <v>824</v>
      </c>
      <c r="D343" s="14" t="s">
        <v>806</v>
      </c>
      <c r="E343" s="15">
        <v>1</v>
      </c>
      <c r="F343" s="16">
        <v>1</v>
      </c>
      <c r="G343" s="17">
        <f>E343 * F343 * 41.9225</f>
        <v>41.922499999999999</v>
      </c>
      <c r="H343" s="17">
        <f t="shared" si="46"/>
        <v>0</v>
      </c>
      <c r="I343" s="17">
        <f t="shared" si="48"/>
        <v>0</v>
      </c>
      <c r="J343" s="17">
        <f>E343 * F343 * 42.0063449999999</f>
        <v>42.006344999999897</v>
      </c>
      <c r="K343" s="17">
        <f>E343 * F343 * 12.841113</f>
        <v>12.841113</v>
      </c>
      <c r="L343" s="24">
        <f t="shared" si="47"/>
        <v>96.769957999999889</v>
      </c>
      <c r="M343" s="18">
        <f>SUM(G343:K343)</f>
        <v>96.769957999999889</v>
      </c>
    </row>
    <row r="344" spans="1:13" ht="38.25">
      <c r="A344" s="12">
        <v>341</v>
      </c>
      <c r="B344" s="13" t="s">
        <v>825</v>
      </c>
      <c r="C344" s="14" t="s">
        <v>826</v>
      </c>
      <c r="D344" s="14" t="s">
        <v>806</v>
      </c>
      <c r="E344" s="15">
        <v>1</v>
      </c>
      <c r="F344" s="16">
        <v>1</v>
      </c>
      <c r="G344" s="17">
        <f>E344 * F344 * 503.07</f>
        <v>503.07</v>
      </c>
      <c r="H344" s="17">
        <f t="shared" si="46"/>
        <v>0</v>
      </c>
      <c r="I344" s="17">
        <f t="shared" si="48"/>
        <v>0</v>
      </c>
      <c r="J344" s="17">
        <f>E344 * F344 * 504.07614</f>
        <v>504.07614000000001</v>
      </c>
      <c r="K344" s="17">
        <f>E344 * F344 * 154.09336</f>
        <v>154.09335999999999</v>
      </c>
      <c r="L344" s="24">
        <f t="shared" si="47"/>
        <v>1161.2395000000001</v>
      </c>
      <c r="M344" s="18">
        <f>SUM(G344:K344)</f>
        <v>1161.2395000000001</v>
      </c>
    </row>
    <row r="345" spans="1:13" ht="25.5">
      <c r="A345" s="12">
        <v>342</v>
      </c>
      <c r="B345" s="13" t="s">
        <v>827</v>
      </c>
      <c r="C345" s="14" t="s">
        <v>828</v>
      </c>
      <c r="D345" s="14" t="s">
        <v>440</v>
      </c>
      <c r="E345" s="15">
        <v>1</v>
      </c>
      <c r="F345" s="16">
        <v>1</v>
      </c>
      <c r="G345" s="17">
        <f>E345 * F345 * 407.999995</f>
        <v>407.99999500000001</v>
      </c>
      <c r="H345" s="17">
        <f t="shared" si="46"/>
        <v>0</v>
      </c>
      <c r="I345" s="17">
        <f t="shared" si="48"/>
        <v>0</v>
      </c>
      <c r="J345" s="17">
        <f>E345 * F345 * 408.815995</f>
        <v>408.81599499999999</v>
      </c>
      <c r="K345" s="17">
        <f>E345 * F345 * 124.972847</f>
        <v>124.972847</v>
      </c>
      <c r="L345" s="24">
        <f t="shared" si="47"/>
        <v>941.78883700000006</v>
      </c>
      <c r="M345" s="18">
        <f>SUM(G345:K345)</f>
        <v>941.78883700000006</v>
      </c>
    </row>
    <row r="346" spans="1:13" ht="25.5">
      <c r="A346" s="12">
        <v>343</v>
      </c>
      <c r="B346" s="13" t="s">
        <v>829</v>
      </c>
      <c r="C346" s="14" t="s">
        <v>830</v>
      </c>
      <c r="D346" s="14" t="s">
        <v>440</v>
      </c>
      <c r="E346" s="15">
        <v>1</v>
      </c>
      <c r="F346" s="16">
        <v>1</v>
      </c>
      <c r="G346" s="17">
        <f>E346 * F346 * 407.999995</f>
        <v>407.99999500000001</v>
      </c>
      <c r="H346" s="17">
        <f t="shared" si="46"/>
        <v>0</v>
      </c>
      <c r="I346" s="17">
        <f t="shared" si="48"/>
        <v>0</v>
      </c>
      <c r="J346" s="17">
        <f>E346 * F346 * 408.815995</f>
        <v>408.81599499999999</v>
      </c>
      <c r="K346" s="17">
        <f>E346 * F346 * 124.972847</f>
        <v>124.972847</v>
      </c>
      <c r="L346" s="24">
        <f t="shared" si="47"/>
        <v>941.78883700000006</v>
      </c>
      <c r="M346" s="18">
        <f>SUM(G346:K346)</f>
        <v>941.78883700000006</v>
      </c>
    </row>
    <row r="347" spans="1:13" ht="76.5">
      <c r="A347" s="12">
        <v>344</v>
      </c>
      <c r="B347" s="13" t="s">
        <v>831</v>
      </c>
      <c r="C347" s="14" t="s">
        <v>832</v>
      </c>
      <c r="D347" s="14" t="s">
        <v>833</v>
      </c>
      <c r="E347" s="15">
        <v>1</v>
      </c>
      <c r="F347" s="16">
        <v>365</v>
      </c>
      <c r="G347" s="17">
        <f>E347 * F347 * 406.7554</f>
        <v>148465.72099999999</v>
      </c>
      <c r="H347" s="17">
        <f t="shared" si="46"/>
        <v>0</v>
      </c>
      <c r="I347" s="17">
        <f t="shared" si="48"/>
        <v>0</v>
      </c>
      <c r="J347" s="17">
        <f>E347 * F347 * 407.568910999999</f>
        <v>148762.65251499965</v>
      </c>
      <c r="K347" s="17">
        <f>E347 * F347 * 124.591619</f>
        <v>45475.940934999999</v>
      </c>
      <c r="L347" s="24">
        <f>M347/E347/F347/1000</f>
        <v>0.93891592999999907</v>
      </c>
      <c r="M347" s="18">
        <f>SUM(G347:K347)</f>
        <v>342704.31444999966</v>
      </c>
    </row>
    <row r="348" spans="1:13" ht="76.5">
      <c r="A348" s="12">
        <v>345</v>
      </c>
      <c r="B348" s="13" t="s">
        <v>834</v>
      </c>
      <c r="C348" s="14" t="s">
        <v>835</v>
      </c>
      <c r="D348" s="14" t="s">
        <v>833</v>
      </c>
      <c r="E348" s="15">
        <v>1</v>
      </c>
      <c r="F348" s="16">
        <v>365</v>
      </c>
      <c r="G348" s="17">
        <f>E348 * F348 * 412.2954</f>
        <v>150487.821</v>
      </c>
      <c r="H348" s="17">
        <f t="shared" si="46"/>
        <v>0</v>
      </c>
      <c r="I348" s="17">
        <f t="shared" si="48"/>
        <v>0</v>
      </c>
      <c r="J348" s="17">
        <f>E348 * F348 * 413.119991</f>
        <v>150788.796715</v>
      </c>
      <c r="K348" s="17">
        <f>E348 * F348 * 126.288555</f>
        <v>46095.322574999998</v>
      </c>
      <c r="L348" s="24">
        <f t="shared" ref="L348:L354" si="49">M348/E348/F348/1000</f>
        <v>0.95170394599999997</v>
      </c>
      <c r="M348" s="18">
        <f>SUM(G348:K348)</f>
        <v>347371.94029</v>
      </c>
    </row>
    <row r="349" spans="1:13" ht="76.5">
      <c r="A349" s="12">
        <v>346</v>
      </c>
      <c r="B349" s="13" t="s">
        <v>836</v>
      </c>
      <c r="C349" s="14" t="s">
        <v>837</v>
      </c>
      <c r="D349" s="14" t="s">
        <v>833</v>
      </c>
      <c r="E349" s="15">
        <v>1</v>
      </c>
      <c r="F349" s="16">
        <v>365</v>
      </c>
      <c r="G349" s="17">
        <f>E349 * F349 * 448.4014</f>
        <v>163666.511</v>
      </c>
      <c r="H349" s="17">
        <f t="shared" si="46"/>
        <v>0</v>
      </c>
      <c r="I349" s="17">
        <f t="shared" si="48"/>
        <v>0</v>
      </c>
      <c r="J349" s="17">
        <f>E349 * F349 * 449.298203</f>
        <v>163993.84409500001</v>
      </c>
      <c r="K349" s="17">
        <f>E349 * F349 * 137.348039</f>
        <v>50132.034234999999</v>
      </c>
      <c r="L349" s="24">
        <f t="shared" si="49"/>
        <v>1.0350476420000001</v>
      </c>
      <c r="M349" s="18">
        <f>SUM(G349:K349)</f>
        <v>377792.38933000003</v>
      </c>
    </row>
    <row r="350" spans="1:13" ht="76.5">
      <c r="A350" s="12">
        <v>347</v>
      </c>
      <c r="B350" s="13" t="s">
        <v>838</v>
      </c>
      <c r="C350" s="14" t="s">
        <v>839</v>
      </c>
      <c r="D350" s="14" t="s">
        <v>833</v>
      </c>
      <c r="E350" s="15">
        <v>1</v>
      </c>
      <c r="F350" s="16">
        <v>365</v>
      </c>
      <c r="G350" s="17">
        <f>E350 * F350 * 490.0474</f>
        <v>178867.30100000001</v>
      </c>
      <c r="H350" s="17">
        <f t="shared" si="46"/>
        <v>0</v>
      </c>
      <c r="I350" s="17">
        <f t="shared" si="48"/>
        <v>0</v>
      </c>
      <c r="J350" s="17">
        <f>E350 * F350 * 491.027495</f>
        <v>179225.03567499999</v>
      </c>
      <c r="K350" s="17">
        <f>E350 * F350 * 150.104459</f>
        <v>54788.127535</v>
      </c>
      <c r="L350" s="24">
        <f t="shared" si="49"/>
        <v>1.1311793540000001</v>
      </c>
      <c r="M350" s="18">
        <f>SUM(G350:K350)</f>
        <v>412880.46421000001</v>
      </c>
    </row>
    <row r="351" spans="1:13" ht="76.5">
      <c r="A351" s="12">
        <v>348</v>
      </c>
      <c r="B351" s="13" t="s">
        <v>840</v>
      </c>
      <c r="C351" s="14" t="s">
        <v>841</v>
      </c>
      <c r="D351" s="14" t="s">
        <v>833</v>
      </c>
      <c r="E351" s="15">
        <v>1</v>
      </c>
      <c r="F351" s="16">
        <v>365</v>
      </c>
      <c r="G351" s="17">
        <f>E351 * F351 * 536.9564</f>
        <v>195989.08600000001</v>
      </c>
      <c r="H351" s="17">
        <f t="shared" si="46"/>
        <v>0</v>
      </c>
      <c r="I351" s="17">
        <f t="shared" si="48"/>
        <v>0</v>
      </c>
      <c r="J351" s="17">
        <f>E351 * F351 * 538.030313</f>
        <v>196381.06424499999</v>
      </c>
      <c r="K351" s="17">
        <f>E351 * F351 * 164.472967999999</f>
        <v>60032.633319999637</v>
      </c>
      <c r="L351" s="24">
        <f t="shared" si="49"/>
        <v>1.2394596809999989</v>
      </c>
      <c r="M351" s="18">
        <f>SUM(G351:K351)</f>
        <v>452402.78356499964</v>
      </c>
    </row>
    <row r="352" spans="1:13" ht="76.5">
      <c r="A352" s="12">
        <v>349</v>
      </c>
      <c r="B352" s="13" t="s">
        <v>842</v>
      </c>
      <c r="C352" s="14" t="s">
        <v>832</v>
      </c>
      <c r="D352" s="14" t="s">
        <v>843</v>
      </c>
      <c r="E352" s="15">
        <v>1</v>
      </c>
      <c r="F352" s="16">
        <v>365</v>
      </c>
      <c r="G352" s="17">
        <f>E352 * F352 * 332.6638</f>
        <v>121422.287</v>
      </c>
      <c r="H352" s="17">
        <f t="shared" si="46"/>
        <v>0</v>
      </c>
      <c r="I352" s="17">
        <f t="shared" si="48"/>
        <v>0</v>
      </c>
      <c r="J352" s="17">
        <f>E352 * F352 * 333.329127999999</f>
        <v>121665.13171999964</v>
      </c>
      <c r="K352" s="17">
        <f>E352 * F352 * 101.896918</f>
        <v>37192.375070000002</v>
      </c>
      <c r="L352" s="24">
        <f t="shared" si="49"/>
        <v>0.76788984599999888</v>
      </c>
      <c r="M352" s="18">
        <f>SUM(G352:K352)</f>
        <v>280279.79378999962</v>
      </c>
    </row>
    <row r="353" spans="1:13" ht="76.5">
      <c r="A353" s="12">
        <v>350</v>
      </c>
      <c r="B353" s="13" t="s">
        <v>844</v>
      </c>
      <c r="C353" s="14" t="s">
        <v>835</v>
      </c>
      <c r="D353" s="14" t="s">
        <v>843</v>
      </c>
      <c r="E353" s="15">
        <v>1</v>
      </c>
      <c r="F353" s="16">
        <v>365</v>
      </c>
      <c r="G353" s="17">
        <f>E353 * F353 * 338.2038</f>
        <v>123444.387</v>
      </c>
      <c r="H353" s="17">
        <f t="shared" si="46"/>
        <v>0</v>
      </c>
      <c r="I353" s="17">
        <f t="shared" si="48"/>
        <v>0</v>
      </c>
      <c r="J353" s="17">
        <f>E353 * F353 * 338.880208</f>
        <v>123691.27592</v>
      </c>
      <c r="K353" s="17">
        <f>E353 * F353 * 103.593853</f>
        <v>37811.756345000002</v>
      </c>
      <c r="L353" s="24">
        <f t="shared" si="49"/>
        <v>0.78067786100000014</v>
      </c>
      <c r="M353" s="18">
        <f>SUM(G353:K353)</f>
        <v>284947.41926500003</v>
      </c>
    </row>
    <row r="354" spans="1:13" ht="76.5">
      <c r="A354" s="12">
        <v>351</v>
      </c>
      <c r="B354" s="13" t="s">
        <v>845</v>
      </c>
      <c r="C354" s="14" t="s">
        <v>837</v>
      </c>
      <c r="D354" s="14" t="s">
        <v>843</v>
      </c>
      <c r="E354" s="15">
        <v>1</v>
      </c>
      <c r="F354" s="16">
        <v>365</v>
      </c>
      <c r="G354" s="17">
        <f>E354 * F354 * 366.8258</f>
        <v>133891.41700000002</v>
      </c>
      <c r="H354" s="17">
        <f t="shared" si="46"/>
        <v>0</v>
      </c>
      <c r="I354" s="17">
        <f t="shared" si="48"/>
        <v>0</v>
      </c>
      <c r="J354" s="17">
        <f>E354 * F354 * 367.559451999999</f>
        <v>134159.19997999963</v>
      </c>
      <c r="K354" s="17">
        <f>E354 * F354 * 112.360943</f>
        <v>41011.744194999999</v>
      </c>
      <c r="L354" s="24">
        <f t="shared" si="49"/>
        <v>0.84674619499999892</v>
      </c>
      <c r="M354" s="18">
        <f>SUM(G354:K354)</f>
        <v>309062.36117499962</v>
      </c>
    </row>
    <row r="355" spans="1:13" ht="25.5">
      <c r="A355" s="12">
        <v>352</v>
      </c>
      <c r="B355" s="13" t="s">
        <v>846</v>
      </c>
      <c r="C355" s="14" t="s">
        <v>847</v>
      </c>
      <c r="D355" s="14" t="s">
        <v>513</v>
      </c>
      <c r="E355" s="15">
        <v>1</v>
      </c>
      <c r="F355" s="16">
        <v>1</v>
      </c>
      <c r="G355" s="17">
        <f>E355 * F355 * 10217.229</f>
        <v>10217.228999999999</v>
      </c>
      <c r="H355" s="17">
        <f>E355 * F355 * 2278.389292</f>
        <v>2278.3892919999998</v>
      </c>
      <c r="I355" s="17">
        <f t="shared" si="48"/>
        <v>0</v>
      </c>
      <c r="J355" s="17">
        <f>E355 * F355 * 10237.6634579999</f>
        <v>10237.663457999901</v>
      </c>
      <c r="K355" s="17">
        <f>E355 * F355 * 3478.192108</f>
        <v>3478.1921080000002</v>
      </c>
      <c r="L355" s="24">
        <f>M355/E355/F355</f>
        <v>26211.473857999899</v>
      </c>
      <c r="M355" s="18">
        <f>SUM(G355:K355)</f>
        <v>26211.473857999899</v>
      </c>
    </row>
    <row r="356" spans="1:13">
      <c r="A356" s="12">
        <v>353</v>
      </c>
      <c r="B356" s="13" t="s">
        <v>848</v>
      </c>
      <c r="C356" s="14" t="s">
        <v>849</v>
      </c>
      <c r="D356" s="14" t="s">
        <v>850</v>
      </c>
      <c r="E356" s="15">
        <v>1</v>
      </c>
      <c r="F356" s="16">
        <v>1</v>
      </c>
      <c r="G356" s="17">
        <f>E356 * F356 * 54.2434</f>
        <v>54.243400000000001</v>
      </c>
      <c r="H356" s="17">
        <f>E356 * F356 * 313.176</f>
        <v>313.17599999999999</v>
      </c>
      <c r="I356" s="17">
        <f t="shared" si="48"/>
        <v>0</v>
      </c>
      <c r="J356" s="17">
        <f>E356 * F356 * 54.351887</f>
        <v>54.351886999999998</v>
      </c>
      <c r="K356" s="17">
        <f>E356 * F356 * 64.531006</f>
        <v>64.531006000000005</v>
      </c>
      <c r="L356" s="24">
        <f>M356/E356/F356</f>
        <v>486.30229299999996</v>
      </c>
      <c r="M356" s="18">
        <f>SUM(G356:K356)</f>
        <v>486.30229299999996</v>
      </c>
    </row>
    <row r="357" spans="1:13">
      <c r="A357" s="12">
        <v>354</v>
      </c>
      <c r="B357" s="13" t="s">
        <v>851</v>
      </c>
      <c r="C357" s="14" t="s">
        <v>852</v>
      </c>
      <c r="D357" s="14" t="s">
        <v>853</v>
      </c>
      <c r="E357" s="15">
        <v>1</v>
      </c>
      <c r="F357" s="16">
        <v>1</v>
      </c>
      <c r="G357" s="17">
        <f>E357 * F357 * 9.947731</f>
        <v>9.9477309999999992</v>
      </c>
      <c r="H357" s="17">
        <f>E357 * F357 * 0</f>
        <v>0</v>
      </c>
      <c r="I357" s="17">
        <f t="shared" si="48"/>
        <v>0</v>
      </c>
      <c r="J357" s="17">
        <f>E357 * F357 * 9.967627</f>
        <v>9.9676270000000002</v>
      </c>
      <c r="K357" s="17">
        <f>E357 * F357 * 3.04705</f>
        <v>3.04705</v>
      </c>
      <c r="L357" s="24">
        <f>M357/E357/F357</f>
        <v>22.962407999999996</v>
      </c>
      <c r="M357" s="18">
        <f>SUM(G357:K357)</f>
        <v>22.962407999999996</v>
      </c>
    </row>
    <row r="358" spans="1:13" ht="25.5">
      <c r="A358" s="12">
        <v>355</v>
      </c>
      <c r="B358" s="13" t="s">
        <v>854</v>
      </c>
      <c r="C358" s="14" t="s">
        <v>855</v>
      </c>
      <c r="D358" s="14" t="s">
        <v>513</v>
      </c>
      <c r="E358" s="15">
        <v>1</v>
      </c>
      <c r="F358" s="16">
        <v>1</v>
      </c>
      <c r="G358" s="17">
        <f>E358 * F358 * 10217.229</f>
        <v>10217.228999999999</v>
      </c>
      <c r="H358" s="17">
        <f>E358 * F358 * 2278.389292</f>
        <v>2278.3892919999998</v>
      </c>
      <c r="I358" s="17">
        <f t="shared" si="48"/>
        <v>0</v>
      </c>
      <c r="J358" s="17">
        <f>E358 * F358 * 10237.6634579999</f>
        <v>10237.663457999901</v>
      </c>
      <c r="K358" s="17">
        <f>E358 * F358 * 3478.192108</f>
        <v>3478.1921080000002</v>
      </c>
      <c r="L358" s="24">
        <f t="shared" ref="L358:L365" si="50">M358/E358/F358/100</f>
        <v>262.11473857999897</v>
      </c>
      <c r="M358" s="18">
        <f>SUM(G358:K358)</f>
        <v>26211.473857999899</v>
      </c>
    </row>
    <row r="359" spans="1:13" ht="25.5">
      <c r="A359" s="12">
        <v>356</v>
      </c>
      <c r="B359" s="13" t="s">
        <v>856</v>
      </c>
      <c r="C359" s="14" t="s">
        <v>857</v>
      </c>
      <c r="D359" s="14" t="s">
        <v>858</v>
      </c>
      <c r="E359" s="15">
        <v>1</v>
      </c>
      <c r="F359" s="16">
        <v>365</v>
      </c>
      <c r="G359" s="17">
        <f>E359 * F359 * 168.099</f>
        <v>61356.134999999995</v>
      </c>
      <c r="H359" s="17">
        <f>E359 * F359 * 0</f>
        <v>0</v>
      </c>
      <c r="I359" s="17">
        <f t="shared" si="48"/>
        <v>0</v>
      </c>
      <c r="J359" s="17">
        <f>E359 * F359 * 168.435198</f>
        <v>61478.847270000006</v>
      </c>
      <c r="K359" s="17">
        <f>E359 * F359 * 51.489733</f>
        <v>18793.752544999999</v>
      </c>
      <c r="L359" s="24">
        <f>M359/E359/F359</f>
        <v>388.023931</v>
      </c>
      <c r="M359" s="18">
        <f>SUM(G359:K359)</f>
        <v>141628.734815</v>
      </c>
    </row>
    <row r="360" spans="1:13" ht="38.25">
      <c r="A360" s="12">
        <v>357</v>
      </c>
      <c r="B360" s="13" t="s">
        <v>859</v>
      </c>
      <c r="C360" s="14" t="s">
        <v>860</v>
      </c>
      <c r="D360" s="14" t="s">
        <v>861</v>
      </c>
      <c r="E360" s="15">
        <v>1</v>
      </c>
      <c r="F360" s="16">
        <v>365</v>
      </c>
      <c r="G360" s="17">
        <f>E360 * F360 * 216.361</f>
        <v>78971.764999999999</v>
      </c>
      <c r="H360" s="17">
        <f>E360 * F360 * 0</f>
        <v>0</v>
      </c>
      <c r="I360" s="17">
        <f t="shared" si="48"/>
        <v>0</v>
      </c>
      <c r="J360" s="17">
        <f>E360 * F360 * 216.793722</f>
        <v>79129.708530000004</v>
      </c>
      <c r="K360" s="17">
        <f>E360 * F360 * 66.272673</f>
        <v>24189.525644999998</v>
      </c>
      <c r="L360" s="24">
        <f t="shared" si="50"/>
        <v>4.9942739500000002</v>
      </c>
      <c r="M360" s="18">
        <f>SUM(G360:K360)</f>
        <v>182290.999175</v>
      </c>
    </row>
    <row r="361" spans="1:13" ht="51">
      <c r="A361" s="12">
        <v>358</v>
      </c>
      <c r="B361" s="13" t="s">
        <v>862</v>
      </c>
      <c r="C361" s="14" t="s">
        <v>863</v>
      </c>
      <c r="D361" s="14" t="s">
        <v>861</v>
      </c>
      <c r="E361" s="15">
        <v>1</v>
      </c>
      <c r="F361" s="16">
        <v>365</v>
      </c>
      <c r="G361" s="17">
        <f>E361 * F361 * 234.751685</f>
        <v>85684.365025000006</v>
      </c>
      <c r="H361" s="17">
        <f>E361 * F361 * 0</f>
        <v>0</v>
      </c>
      <c r="I361" s="17">
        <f t="shared" si="48"/>
        <v>0</v>
      </c>
      <c r="J361" s="17">
        <f>E361 * F361 * 235.221188999999</f>
        <v>85855.733984999635</v>
      </c>
      <c r="K361" s="17">
        <f>E361 * F361 * 71.90585</f>
        <v>26245.635249999999</v>
      </c>
      <c r="L361" s="24">
        <f t="shared" si="50"/>
        <v>5.4187872399999897</v>
      </c>
      <c r="M361" s="18">
        <f>SUM(G361:K361)</f>
        <v>197785.73425999965</v>
      </c>
    </row>
    <row r="362" spans="1:13" ht="38.25">
      <c r="A362" s="12">
        <v>359</v>
      </c>
      <c r="B362" s="13" t="s">
        <v>864</v>
      </c>
      <c r="C362" s="14" t="s">
        <v>865</v>
      </c>
      <c r="D362" s="14" t="s">
        <v>861</v>
      </c>
      <c r="E362" s="15">
        <v>1</v>
      </c>
      <c r="F362" s="16">
        <v>1</v>
      </c>
      <c r="G362" s="17">
        <f>E362 * F362 * 1639.4765</f>
        <v>1639.4765</v>
      </c>
      <c r="H362" s="17">
        <f>E362 * F362 * 385.752</f>
        <v>385.75200000000001</v>
      </c>
      <c r="I362" s="17">
        <f t="shared" si="48"/>
        <v>0</v>
      </c>
      <c r="J362" s="17">
        <f>E362 * F362 * 1642.755453</f>
        <v>1642.755453</v>
      </c>
      <c r="K362" s="17">
        <f>E362 * F362 * 561.201544</f>
        <v>561.20154400000001</v>
      </c>
      <c r="L362" s="24">
        <f t="shared" si="50"/>
        <v>42.291854970000003</v>
      </c>
      <c r="M362" s="18">
        <f>SUM(G362:K362)</f>
        <v>4229.1854970000004</v>
      </c>
    </row>
    <row r="363" spans="1:13" ht="51">
      <c r="A363" s="12">
        <v>360</v>
      </c>
      <c r="B363" s="13" t="s">
        <v>866</v>
      </c>
      <c r="C363" s="14" t="s">
        <v>867</v>
      </c>
      <c r="D363" s="14" t="s">
        <v>861</v>
      </c>
      <c r="E363" s="15">
        <v>1</v>
      </c>
      <c r="F363" s="16">
        <v>1</v>
      </c>
      <c r="G363" s="17">
        <f>E363 * F363 * 1778.832002</f>
        <v>1778.8320020000001</v>
      </c>
      <c r="H363" s="17">
        <f>E363 * F363 * 385.752</f>
        <v>385.75200000000001</v>
      </c>
      <c r="I363" s="17">
        <f t="shared" si="48"/>
        <v>0</v>
      </c>
      <c r="J363" s="17">
        <f>E363 * F363 * 1782.389666</f>
        <v>1782.389666</v>
      </c>
      <c r="K363" s="17">
        <f>E363 * F363 * 603.886971</f>
        <v>603.88697100000002</v>
      </c>
      <c r="L363" s="24">
        <f t="shared" si="50"/>
        <v>45.508606390000004</v>
      </c>
      <c r="M363" s="18">
        <f>SUM(G363:K363)</f>
        <v>4550.8606390000004</v>
      </c>
    </row>
    <row r="364" spans="1:13" ht="25.5">
      <c r="A364" s="12">
        <v>361</v>
      </c>
      <c r="B364" s="13" t="s">
        <v>868</v>
      </c>
      <c r="C364" s="14" t="s">
        <v>869</v>
      </c>
      <c r="D364" s="14" t="s">
        <v>870</v>
      </c>
      <c r="E364" s="15">
        <v>1</v>
      </c>
      <c r="F364" s="16">
        <v>1</v>
      </c>
      <c r="G364" s="17">
        <f>E364 * F364 * 368.1</f>
        <v>368.1</v>
      </c>
      <c r="H364" s="17">
        <f>E364 * F364 * 730.38792</f>
        <v>730.38792000000001</v>
      </c>
      <c r="I364" s="17">
        <f t="shared" si="48"/>
        <v>0</v>
      </c>
      <c r="J364" s="17">
        <f>E364 * F364 * 368.8362</f>
        <v>368.83620000000002</v>
      </c>
      <c r="K364" s="17">
        <f>E364 * F364 * 224.50059</f>
        <v>224.50058999999999</v>
      </c>
      <c r="L364" s="24">
        <f t="shared" si="50"/>
        <v>16.918247099999999</v>
      </c>
      <c r="M364" s="18">
        <f>SUM(G364:K364)</f>
        <v>1691.8247099999999</v>
      </c>
    </row>
    <row r="365" spans="1:13" ht="25.5">
      <c r="A365" s="12">
        <v>362</v>
      </c>
      <c r="B365" s="13" t="s">
        <v>871</v>
      </c>
      <c r="C365" s="14" t="s">
        <v>872</v>
      </c>
      <c r="D365" s="14" t="s">
        <v>870</v>
      </c>
      <c r="E365" s="15">
        <v>1</v>
      </c>
      <c r="F365" s="16">
        <v>1</v>
      </c>
      <c r="G365" s="17">
        <f>E365 * F365 * 702.0485</f>
        <v>702.04849999999999</v>
      </c>
      <c r="H365" s="17">
        <f>E365 * F365 * 730.38792</f>
        <v>730.38792000000001</v>
      </c>
      <c r="I365" s="17">
        <f t="shared" si="48"/>
        <v>0</v>
      </c>
      <c r="J365" s="17">
        <f>E365 * F365 * 703.452597</f>
        <v>703.45259699999997</v>
      </c>
      <c r="K365" s="17">
        <f>E365 * F365 * 326.79102</f>
        <v>326.79102</v>
      </c>
      <c r="L365" s="24">
        <f t="shared" si="50"/>
        <v>24.626800370000002</v>
      </c>
      <c r="M365" s="18">
        <f>SUM(G365:K365)</f>
        <v>2462.6800370000001</v>
      </c>
    </row>
    <row r="366" spans="1:13" ht="25.5">
      <c r="A366" s="12">
        <v>363</v>
      </c>
      <c r="B366" s="13" t="s">
        <v>873</v>
      </c>
      <c r="C366" s="14" t="s">
        <v>874</v>
      </c>
      <c r="D366" s="14" t="s">
        <v>875</v>
      </c>
      <c r="E366" s="15">
        <v>1</v>
      </c>
      <c r="F366" s="16">
        <v>2</v>
      </c>
      <c r="G366" s="17">
        <f>E366 * F366 * 84.31535</f>
        <v>168.63069999999999</v>
      </c>
      <c r="H366" s="17">
        <f>E366 * F366 * 0</f>
        <v>0</v>
      </c>
      <c r="I366" s="17">
        <f t="shared" si="48"/>
        <v>0</v>
      </c>
      <c r="J366" s="17">
        <f>E366 * F366 * 84.483981</f>
        <v>168.967962</v>
      </c>
      <c r="K366" s="17">
        <f>E366 * F366 * 25.826298</f>
        <v>51.652596000000003</v>
      </c>
      <c r="L366" s="24">
        <f>M366/E366/F366</f>
        <v>194.625629</v>
      </c>
      <c r="M366" s="18">
        <f>SUM(G366:K366)</f>
        <v>389.25125800000001</v>
      </c>
    </row>
    <row r="367" spans="1:13">
      <c r="A367" s="12">
        <v>364</v>
      </c>
      <c r="B367" s="13" t="s">
        <v>876</v>
      </c>
      <c r="C367" s="14" t="s">
        <v>877</v>
      </c>
      <c r="D367" s="14" t="s">
        <v>878</v>
      </c>
      <c r="E367" s="15">
        <v>1</v>
      </c>
      <c r="F367" s="16">
        <v>2</v>
      </c>
      <c r="G367" s="17">
        <f>E367 * F367 * 96.115</f>
        <v>192.23</v>
      </c>
      <c r="H367" s="17">
        <f>E367 * F367 * 77.2176</f>
        <v>154.43520000000001</v>
      </c>
      <c r="I367" s="17">
        <f t="shared" si="48"/>
        <v>0</v>
      </c>
      <c r="J367" s="17">
        <f>E367 * F367 * 96.30723</f>
        <v>192.61446000000001</v>
      </c>
      <c r="K367" s="17">
        <f>E367 * F367 * 41.254894</f>
        <v>82.509788</v>
      </c>
      <c r="L367" s="24">
        <f>M367/E367/F367</f>
        <v>310.894724</v>
      </c>
      <c r="M367" s="18">
        <f>SUM(G367:K367)</f>
        <v>621.78944799999999</v>
      </c>
    </row>
    <row r="368" spans="1:13">
      <c r="A368" s="12">
        <v>365</v>
      </c>
      <c r="B368" s="13" t="s">
        <v>879</v>
      </c>
      <c r="C368" s="14" t="s">
        <v>880</v>
      </c>
      <c r="D368" s="14" t="s">
        <v>878</v>
      </c>
      <c r="E368" s="15">
        <v>1</v>
      </c>
      <c r="F368" s="16">
        <v>2</v>
      </c>
      <c r="G368" s="17">
        <f>E368 * F368 * 163.6</f>
        <v>327.2</v>
      </c>
      <c r="H368" s="17">
        <f>E368 * F368 * 77.2176</f>
        <v>154.43520000000001</v>
      </c>
      <c r="I368" s="17">
        <f t="shared" si="48"/>
        <v>0</v>
      </c>
      <c r="J368" s="17">
        <f>E368 * F368 * 163.9272</f>
        <v>327.8544</v>
      </c>
      <c r="K368" s="17">
        <f>E368 * F368 * 61.925954</f>
        <v>123.85190799999999</v>
      </c>
      <c r="L368" s="24"/>
      <c r="M368" s="18">
        <f>SUM(G368:K368)</f>
        <v>933.34150799999998</v>
      </c>
    </row>
    <row r="369" spans="1:13" ht="25.5">
      <c r="A369" s="12">
        <v>366</v>
      </c>
      <c r="B369" s="13" t="s">
        <v>881</v>
      </c>
      <c r="C369" s="14" t="s">
        <v>882</v>
      </c>
      <c r="D369" s="14" t="s">
        <v>883</v>
      </c>
      <c r="E369" s="15">
        <v>1</v>
      </c>
      <c r="F369" s="16">
        <v>1</v>
      </c>
      <c r="G369" s="17">
        <f>E369 * F369 * 4382.844</f>
        <v>4382.8440000000001</v>
      </c>
      <c r="H369" s="17">
        <f>E369 * F369 * 0</f>
        <v>0</v>
      </c>
      <c r="I369" s="17">
        <f t="shared" si="48"/>
        <v>0</v>
      </c>
      <c r="J369" s="17">
        <f>E369 * F369 * 4391.609688</f>
        <v>4391.6096879999996</v>
      </c>
      <c r="K369" s="17">
        <f>E369 * F369 * 1342.491415</f>
        <v>1342.491415</v>
      </c>
      <c r="L369" s="24"/>
      <c r="M369" s="18">
        <f>SUM(G369:K369)</f>
        <v>10116.945103</v>
      </c>
    </row>
    <row r="370" spans="1:13">
      <c r="A370" s="12">
        <v>367</v>
      </c>
      <c r="B370" s="13" t="s">
        <v>884</v>
      </c>
      <c r="C370" s="14" t="s">
        <v>885</v>
      </c>
      <c r="D370" s="14" t="s">
        <v>886</v>
      </c>
      <c r="E370" s="15">
        <v>1</v>
      </c>
      <c r="F370" s="16">
        <v>8</v>
      </c>
      <c r="G370" s="17">
        <f>E370 * F370 * 15.3375</f>
        <v>122.7</v>
      </c>
      <c r="H370" s="17">
        <f>E370 * F370 * 69.19416</f>
        <v>553.55327999999997</v>
      </c>
      <c r="I370" s="17">
        <f t="shared" si="48"/>
        <v>0</v>
      </c>
      <c r="J370" s="17">
        <f>E370 * F370 * 15.368175</f>
        <v>122.94540000000001</v>
      </c>
      <c r="K370" s="17">
        <f>E370 * F370 * 15.284675</f>
        <v>122.2774</v>
      </c>
      <c r="L370" s="24">
        <f>M370/E370/F370</f>
        <v>115.18450999999999</v>
      </c>
      <c r="M370" s="18">
        <f>SUM(G370:K370)</f>
        <v>921.47607999999991</v>
      </c>
    </row>
    <row r="371" spans="1:13" ht="38.25">
      <c r="A371" s="12">
        <v>368</v>
      </c>
      <c r="B371" s="13" t="s">
        <v>887</v>
      </c>
      <c r="C371" s="14" t="s">
        <v>888</v>
      </c>
      <c r="D371" s="14" t="s">
        <v>889</v>
      </c>
      <c r="E371" s="15">
        <v>1</v>
      </c>
      <c r="F371" s="16">
        <v>1</v>
      </c>
      <c r="G371" s="17">
        <f>E371 * F371 * 29837.37618</f>
        <v>29837.376179999999</v>
      </c>
      <c r="H371" s="17">
        <f>E371 * F371 * 7160.022094</f>
        <v>7160.0220939999999</v>
      </c>
      <c r="I371" s="17">
        <f t="shared" si="48"/>
        <v>0</v>
      </c>
      <c r="J371" s="17">
        <f>E371 * F371 * 29897.050932</f>
        <v>29897.050931999998</v>
      </c>
      <c r="K371" s="17">
        <f>E371 * F371 * 10234.850729</f>
        <v>10234.850729</v>
      </c>
      <c r="L371" s="24">
        <f t="shared" ref="L371" si="51">M371/E371/F371/100</f>
        <v>771.29299934999983</v>
      </c>
      <c r="M371" s="18">
        <f>SUM(G371:K371)</f>
        <v>77129.299934999988</v>
      </c>
    </row>
    <row r="372" spans="1:13">
      <c r="A372" s="12">
        <v>369</v>
      </c>
      <c r="B372" s="13" t="s">
        <v>890</v>
      </c>
      <c r="C372" s="14" t="s">
        <v>891</v>
      </c>
      <c r="D372" s="14" t="s">
        <v>892</v>
      </c>
      <c r="E372" s="15">
        <v>1</v>
      </c>
      <c r="F372" s="16">
        <v>2</v>
      </c>
      <c r="G372" s="17">
        <f>E372 * F372 * 195.7065</f>
        <v>391.41300000000001</v>
      </c>
      <c r="H372" s="17">
        <f>E372 * F372 * 7.54128</f>
        <v>15.082560000000001</v>
      </c>
      <c r="I372" s="17">
        <f t="shared" si="48"/>
        <v>0</v>
      </c>
      <c r="J372" s="17">
        <f>E372 * F372 * 196.097913</f>
        <v>392.19582600000001</v>
      </c>
      <c r="K372" s="17">
        <f>E372 * F372 * 61.099891</f>
        <v>122.199782</v>
      </c>
      <c r="L372" s="24">
        <f>M372/E372/F372/10</f>
        <v>46.0445584</v>
      </c>
      <c r="M372" s="18">
        <f>SUM(G372:K372)</f>
        <v>920.89116799999999</v>
      </c>
    </row>
    <row r="373" spans="1:13">
      <c r="A373" s="12">
        <v>370</v>
      </c>
      <c r="B373" s="13" t="s">
        <v>893</v>
      </c>
      <c r="C373" s="14" t="s">
        <v>894</v>
      </c>
      <c r="D373" s="14" t="s">
        <v>895</v>
      </c>
      <c r="E373" s="15">
        <v>1</v>
      </c>
      <c r="F373" s="16">
        <v>2</v>
      </c>
      <c r="G373" s="17">
        <f>E373 * F373 * 73.211</f>
        <v>146.422</v>
      </c>
      <c r="H373" s="17">
        <f>E373 * F373 * 65.769</f>
        <v>131.53800000000001</v>
      </c>
      <c r="I373" s="17">
        <f t="shared" si="48"/>
        <v>0</v>
      </c>
      <c r="J373" s="17">
        <f>E373 * F373 * 73.357422</f>
        <v>146.714844</v>
      </c>
      <c r="K373" s="17">
        <f>E373 * F373 * 32.487626</f>
        <v>64.975251999999998</v>
      </c>
      <c r="L373" s="24">
        <f t="shared" ref="L373" si="52">M373/E373/F373/10</f>
        <v>24.482504800000001</v>
      </c>
      <c r="M373" s="18">
        <f>SUM(G373:K373)</f>
        <v>489.65009600000002</v>
      </c>
    </row>
    <row r="374" spans="1:13" ht="25.5">
      <c r="A374" s="12">
        <v>371</v>
      </c>
      <c r="B374" s="13" t="s">
        <v>896</v>
      </c>
      <c r="C374" s="14" t="s">
        <v>46</v>
      </c>
      <c r="D374" s="14" t="s">
        <v>47</v>
      </c>
      <c r="E374" s="15">
        <v>1</v>
      </c>
      <c r="F374" s="16">
        <v>1</v>
      </c>
      <c r="G374" s="17">
        <f>E374 * F374 * 2904.943972</f>
        <v>2904.943972</v>
      </c>
      <c r="H374" s="17">
        <f>E374 * F374 * 1332.68008</f>
        <v>1332.6800800000001</v>
      </c>
      <c r="I374" s="17">
        <f>E374 * F374 * 1235.75</f>
        <v>1235.75</v>
      </c>
      <c r="J374" s="17">
        <f>E374 * F374 * 2910.75386</f>
        <v>2910.7538599999998</v>
      </c>
      <c r="K374" s="17">
        <f>E374 * F374 * 1282.77157</f>
        <v>1282.7715700000001</v>
      </c>
      <c r="L374" s="24">
        <f>M374/E374/F374/100</f>
        <v>96.668994820000009</v>
      </c>
      <c r="M374" s="18">
        <f>SUM(G374:K374)</f>
        <v>9666.8994820000007</v>
      </c>
    </row>
    <row r="375" spans="1:13" ht="25.5">
      <c r="A375" s="12">
        <v>372</v>
      </c>
      <c r="B375" s="13" t="s">
        <v>897</v>
      </c>
      <c r="C375" s="14" t="s">
        <v>898</v>
      </c>
      <c r="D375" s="14" t="s">
        <v>47</v>
      </c>
      <c r="E375" s="15">
        <v>1</v>
      </c>
      <c r="F375" s="16">
        <v>1</v>
      </c>
      <c r="G375" s="17">
        <f>E375 * F375 * 3464.56947</f>
        <v>3464.5694699999999</v>
      </c>
      <c r="H375" s="17">
        <f>E375 * F375 * 1863.17908</f>
        <v>1863.1790800000001</v>
      </c>
      <c r="I375" s="17">
        <f>E375 * F375 * 1475.4855</f>
        <v>1475.4855</v>
      </c>
      <c r="J375" s="17">
        <f>E375 * F375 * 3471.498609</f>
        <v>3471.4986090000002</v>
      </c>
      <c r="K375" s="17">
        <f>E375 * F375 * 1572.034097</f>
        <v>1572.034097</v>
      </c>
      <c r="L375" s="24">
        <f t="shared" ref="L375:L377" si="53">M375/E375/F375/100</f>
        <v>118.46766756000001</v>
      </c>
      <c r="M375" s="18">
        <f>SUM(G375:K375)</f>
        <v>11846.766756000001</v>
      </c>
    </row>
    <row r="376" spans="1:13" ht="25.5">
      <c r="A376" s="12">
        <v>373</v>
      </c>
      <c r="B376" s="13" t="s">
        <v>899</v>
      </c>
      <c r="C376" s="14" t="s">
        <v>900</v>
      </c>
      <c r="D376" s="14" t="s">
        <v>47</v>
      </c>
      <c r="E376" s="15">
        <v>1</v>
      </c>
      <c r="F376" s="16">
        <v>1</v>
      </c>
      <c r="G376" s="17">
        <f>E376 * F376 * 2507.8653</f>
        <v>2507.8652999999999</v>
      </c>
      <c r="H376" s="17">
        <f>E376 * F376 * 580.896412</f>
        <v>580.89641200000005</v>
      </c>
      <c r="I376" s="17">
        <f>E376 * F376 * 1067.688</f>
        <v>1067.6880000000001</v>
      </c>
      <c r="J376" s="17">
        <f>E376 * F376 * 2512.881031</f>
        <v>2512.8810309999999</v>
      </c>
      <c r="K376" s="17">
        <f>E376 * F376 * 1020.407604</f>
        <v>1020.407604</v>
      </c>
      <c r="L376" s="24">
        <f t="shared" si="53"/>
        <v>76.897383469999994</v>
      </c>
      <c r="M376" s="18">
        <f>SUM(G376:K376)</f>
        <v>7689.7383469999995</v>
      </c>
    </row>
    <row r="377" spans="1:13" ht="25.5">
      <c r="A377" s="12">
        <v>374</v>
      </c>
      <c r="B377" s="13" t="s">
        <v>901</v>
      </c>
      <c r="C377" s="14" t="s">
        <v>902</v>
      </c>
      <c r="D377" s="14" t="s">
        <v>47</v>
      </c>
      <c r="E377" s="15">
        <v>1</v>
      </c>
      <c r="F377" s="16">
        <v>1</v>
      </c>
      <c r="G377" s="17">
        <f>E377 * F377 * 2507.8653</f>
        <v>2507.8652999999999</v>
      </c>
      <c r="H377" s="17">
        <f>E377 * F377 * 1135.279328</f>
        <v>1135.2793280000001</v>
      </c>
      <c r="I377" s="17">
        <f>E377 * F377 * 1067.688</f>
        <v>1067.6880000000001</v>
      </c>
      <c r="J377" s="17">
        <f>E377 * F377 * 2512.881031</f>
        <v>2512.8810309999999</v>
      </c>
      <c r="K377" s="17">
        <f>E377 * F377 * 1105.22819</f>
        <v>1105.22819</v>
      </c>
      <c r="L377" s="24">
        <f t="shared" si="53"/>
        <v>83.289418490000003</v>
      </c>
      <c r="M377" s="18">
        <f>SUM(G377:K377)</f>
        <v>8328.9418490000007</v>
      </c>
    </row>
    <row r="378" spans="1:13" ht="25.5">
      <c r="A378" s="12">
        <v>375</v>
      </c>
      <c r="B378" s="13" t="s">
        <v>903</v>
      </c>
      <c r="C378" s="14" t="s">
        <v>904</v>
      </c>
      <c r="D378" s="14" t="s">
        <v>905</v>
      </c>
      <c r="E378" s="15">
        <v>1</v>
      </c>
      <c r="F378" s="16">
        <v>1</v>
      </c>
      <c r="G378" s="17">
        <f>E378 * F378 * 271.985</f>
        <v>271.98500000000001</v>
      </c>
      <c r="H378" s="17">
        <f>E378 * F378 * 1.920516</f>
        <v>1.9205159999999999</v>
      </c>
      <c r="I378" s="17">
        <f t="shared" ref="I378:I392" si="54">E378 * F378 * 0</f>
        <v>0</v>
      </c>
      <c r="J378" s="17">
        <f>E378 * F378 * 272.52897</f>
        <v>272.52897000000002</v>
      </c>
      <c r="K378" s="17">
        <f>E378 * F378 * 83.6044759999999</f>
        <v>83.604475999999906</v>
      </c>
      <c r="L378" s="24">
        <f>M378/E378/F378/1000</f>
        <v>0.63003896199999998</v>
      </c>
      <c r="M378" s="18">
        <f>SUM(G378:K378)</f>
        <v>630.03896199999997</v>
      </c>
    </row>
    <row r="379" spans="1:13" ht="25.5">
      <c r="A379" s="12">
        <v>376</v>
      </c>
      <c r="B379" s="13" t="s">
        <v>906</v>
      </c>
      <c r="C379" s="14" t="s">
        <v>907</v>
      </c>
      <c r="D379" s="14" t="s">
        <v>905</v>
      </c>
      <c r="E379" s="15">
        <v>1</v>
      </c>
      <c r="F379" s="16">
        <v>1</v>
      </c>
      <c r="G379" s="17">
        <f>E379 * F379 * 341.515</f>
        <v>341.51499999999999</v>
      </c>
      <c r="H379" s="17">
        <f>E379 * F379 * 2.38144</f>
        <v>2.38144</v>
      </c>
      <c r="I379" s="17">
        <f t="shared" si="54"/>
        <v>0</v>
      </c>
      <c r="J379" s="17">
        <f>E379 * F379 * 342.19803</f>
        <v>342.19803000000002</v>
      </c>
      <c r="K379" s="17">
        <f>E379 * F379 * 104.972454</f>
        <v>104.972454</v>
      </c>
      <c r="L379" s="24">
        <f t="shared" ref="L379:L386" si="55">M379/E379/F379/1000</f>
        <v>0.791066924</v>
      </c>
      <c r="M379" s="18">
        <f>SUM(G379:K379)</f>
        <v>791.06692399999997</v>
      </c>
    </row>
    <row r="380" spans="1:13" ht="25.5">
      <c r="A380" s="12">
        <v>377</v>
      </c>
      <c r="B380" s="13" t="s">
        <v>908</v>
      </c>
      <c r="C380" s="14" t="s">
        <v>909</v>
      </c>
      <c r="D380" s="14" t="s">
        <v>905</v>
      </c>
      <c r="E380" s="15">
        <v>1</v>
      </c>
      <c r="F380" s="16">
        <v>1</v>
      </c>
      <c r="G380" s="17">
        <f>E380 * F380 * 409</f>
        <v>409</v>
      </c>
      <c r="H380" s="17">
        <f>E380 * F380 * 2.842364</f>
        <v>2.8423639999999999</v>
      </c>
      <c r="I380" s="17">
        <f t="shared" si="54"/>
        <v>0</v>
      </c>
      <c r="J380" s="17">
        <f>E380 * F380 * 409.818</f>
        <v>409.81799999999998</v>
      </c>
      <c r="K380" s="17">
        <f>E380 * F380 * 125.714036</f>
        <v>125.71403599999999</v>
      </c>
      <c r="L380" s="24">
        <f t="shared" si="55"/>
        <v>0.94737439999999995</v>
      </c>
      <c r="M380" s="18">
        <f>SUM(G380:K380)</f>
        <v>947.37439999999992</v>
      </c>
    </row>
    <row r="381" spans="1:13" ht="25.5">
      <c r="A381" s="12">
        <v>378</v>
      </c>
      <c r="B381" s="13" t="s">
        <v>910</v>
      </c>
      <c r="C381" s="14" t="s">
        <v>911</v>
      </c>
      <c r="D381" s="14" t="s">
        <v>905</v>
      </c>
      <c r="E381" s="15">
        <v>1</v>
      </c>
      <c r="F381" s="16">
        <v>1</v>
      </c>
      <c r="G381" s="17">
        <f>E381 * F381 * 374.235</f>
        <v>374.23500000000001</v>
      </c>
      <c r="H381" s="17">
        <f>E381 * F381 * 2.611902</f>
        <v>2.6119020000000002</v>
      </c>
      <c r="I381" s="17">
        <f t="shared" si="54"/>
        <v>0</v>
      </c>
      <c r="J381" s="17">
        <f>E381 * F381 * 374.98347</f>
        <v>374.98347000000001</v>
      </c>
      <c r="K381" s="17">
        <f>E381 * F381 * 115.030047</f>
        <v>115.030047</v>
      </c>
      <c r="L381" s="24">
        <f t="shared" si="55"/>
        <v>0.86686041899999999</v>
      </c>
      <c r="M381" s="18">
        <f>SUM(G381:K381)</f>
        <v>866.86041899999998</v>
      </c>
    </row>
    <row r="382" spans="1:13" ht="25.5">
      <c r="A382" s="12">
        <v>379</v>
      </c>
      <c r="B382" s="13" t="s">
        <v>912</v>
      </c>
      <c r="C382" s="14" t="s">
        <v>913</v>
      </c>
      <c r="D382" s="14" t="s">
        <v>905</v>
      </c>
      <c r="E382" s="15">
        <v>1</v>
      </c>
      <c r="F382" s="16">
        <v>1</v>
      </c>
      <c r="G382" s="17">
        <f>E382 * F382 * 443.765</f>
        <v>443.76499999999999</v>
      </c>
      <c r="H382" s="17">
        <f>E382 * F382 * 3.072826</f>
        <v>3.0728260000000001</v>
      </c>
      <c r="I382" s="17">
        <f t="shared" si="54"/>
        <v>0</v>
      </c>
      <c r="J382" s="17">
        <f>E382 * F382 * 444.652529999999</f>
        <v>444.65252999999899</v>
      </c>
      <c r="K382" s="17">
        <f>E382 * F382 * 136.398025</f>
        <v>136.39802499999999</v>
      </c>
      <c r="L382" s="24">
        <f t="shared" si="55"/>
        <v>1.027888380999999</v>
      </c>
      <c r="M382" s="18">
        <f>SUM(G382:K382)</f>
        <v>1027.8883809999991</v>
      </c>
    </row>
    <row r="383" spans="1:13" ht="25.5">
      <c r="A383" s="12">
        <v>380</v>
      </c>
      <c r="B383" s="13" t="s">
        <v>914</v>
      </c>
      <c r="C383" s="14" t="s">
        <v>915</v>
      </c>
      <c r="D383" s="14" t="s">
        <v>905</v>
      </c>
      <c r="E383" s="15">
        <v>1</v>
      </c>
      <c r="F383" s="16">
        <v>1</v>
      </c>
      <c r="G383" s="17">
        <f>E383 * F383 * 511.25</f>
        <v>511.25</v>
      </c>
      <c r="H383" s="17">
        <f>E383 * F383 * 3.533749</f>
        <v>3.5337489999999998</v>
      </c>
      <c r="I383" s="17">
        <f t="shared" si="54"/>
        <v>0</v>
      </c>
      <c r="J383" s="17">
        <f>E383 * F383 * 512.2725</f>
        <v>512.27250000000004</v>
      </c>
      <c r="K383" s="17">
        <f>E383 * F383 * 157.139606</f>
        <v>157.13960599999999</v>
      </c>
      <c r="L383" s="24">
        <f t="shared" si="55"/>
        <v>1.184195855</v>
      </c>
      <c r="M383" s="18">
        <f>SUM(G383:K383)</f>
        <v>1184.1958549999999</v>
      </c>
    </row>
    <row r="384" spans="1:13" ht="25.5">
      <c r="A384" s="12">
        <v>381</v>
      </c>
      <c r="B384" s="13" t="s">
        <v>916</v>
      </c>
      <c r="C384" s="14" t="s">
        <v>917</v>
      </c>
      <c r="D384" s="14" t="s">
        <v>905</v>
      </c>
      <c r="E384" s="15">
        <v>1</v>
      </c>
      <c r="F384" s="16">
        <v>1</v>
      </c>
      <c r="G384" s="17">
        <f>E384 * F384 * 443.765</f>
        <v>443.76499999999999</v>
      </c>
      <c r="H384" s="17">
        <f>E384 * F384 * 3.072826</f>
        <v>3.0728260000000001</v>
      </c>
      <c r="I384" s="17">
        <f t="shared" si="54"/>
        <v>0</v>
      </c>
      <c r="J384" s="17">
        <f>E384 * F384 * 444.652529999999</f>
        <v>444.65252999999899</v>
      </c>
      <c r="K384" s="17">
        <f>E384 * F384 * 136.398025</f>
        <v>136.39802499999999</v>
      </c>
      <c r="L384" s="24">
        <f t="shared" si="55"/>
        <v>1.027888380999999</v>
      </c>
      <c r="M384" s="18">
        <f>SUM(G384:K384)</f>
        <v>1027.8883809999991</v>
      </c>
    </row>
    <row r="385" spans="1:13" ht="25.5">
      <c r="A385" s="12">
        <v>382</v>
      </c>
      <c r="B385" s="13" t="s">
        <v>918</v>
      </c>
      <c r="C385" s="14" t="s">
        <v>919</v>
      </c>
      <c r="D385" s="14" t="s">
        <v>905</v>
      </c>
      <c r="E385" s="15">
        <v>1</v>
      </c>
      <c r="F385" s="16">
        <v>1</v>
      </c>
      <c r="G385" s="17">
        <f>E385 * F385 * 511.25</f>
        <v>511.25</v>
      </c>
      <c r="H385" s="17">
        <f>E385 * F385 * 3.533749</f>
        <v>3.5337489999999998</v>
      </c>
      <c r="I385" s="17">
        <f t="shared" si="54"/>
        <v>0</v>
      </c>
      <c r="J385" s="17">
        <f>E385 * F385 * 512.2725</f>
        <v>512.27250000000004</v>
      </c>
      <c r="K385" s="17">
        <f>E385 * F385 * 157.139606</f>
        <v>157.13960599999999</v>
      </c>
      <c r="L385" s="24">
        <f t="shared" si="55"/>
        <v>1.184195855</v>
      </c>
      <c r="M385" s="18">
        <f>SUM(G385:K385)</f>
        <v>1184.1958549999999</v>
      </c>
    </row>
    <row r="386" spans="1:13" ht="25.5">
      <c r="A386" s="12">
        <v>383</v>
      </c>
      <c r="B386" s="13" t="s">
        <v>920</v>
      </c>
      <c r="C386" s="14" t="s">
        <v>921</v>
      </c>
      <c r="D386" s="14" t="s">
        <v>905</v>
      </c>
      <c r="E386" s="15">
        <v>1</v>
      </c>
      <c r="F386" s="16">
        <v>1</v>
      </c>
      <c r="G386" s="17">
        <f>E386 * F386 * 578.735</f>
        <v>578.73500000000001</v>
      </c>
      <c r="H386" s="17">
        <f>E386 * F386 * 3.994673</f>
        <v>3.9946730000000001</v>
      </c>
      <c r="I386" s="17">
        <f t="shared" si="54"/>
        <v>0</v>
      </c>
      <c r="J386" s="17">
        <f>E386 * F386 * 579.89247</f>
        <v>579.89247</v>
      </c>
      <c r="K386" s="17">
        <f>E386 * F386 * 177.881188</f>
        <v>177.88118800000001</v>
      </c>
      <c r="L386" s="24">
        <f t="shared" si="55"/>
        <v>1.3405033310000001</v>
      </c>
      <c r="M386" s="18">
        <f>SUM(G386:K386)</f>
        <v>1340.5033310000001</v>
      </c>
    </row>
    <row r="387" spans="1:13" ht="25.5">
      <c r="A387" s="12">
        <v>384</v>
      </c>
      <c r="B387" s="13" t="s">
        <v>922</v>
      </c>
      <c r="C387" s="14" t="s">
        <v>923</v>
      </c>
      <c r="D387" s="14" t="s">
        <v>924</v>
      </c>
      <c r="E387" s="15">
        <v>1</v>
      </c>
      <c r="F387" s="16">
        <v>1</v>
      </c>
      <c r="G387" s="17">
        <f>E387 * F387 * 13634.015</f>
        <v>13634.014999999999</v>
      </c>
      <c r="H387" s="17">
        <f>E387 * F387 * 0</f>
        <v>0</v>
      </c>
      <c r="I387" s="17">
        <f t="shared" si="54"/>
        <v>0</v>
      </c>
      <c r="J387" s="17">
        <f>E387 * F387 * 13661.2830299999</f>
        <v>13661.2830299999</v>
      </c>
      <c r="K387" s="17">
        <f>E387 * F387 * 4176.18059899999</f>
        <v>4176.1805989999903</v>
      </c>
      <c r="L387" s="24">
        <f>M387/E387/F387/100000</f>
        <v>0.31471478628999888</v>
      </c>
      <c r="M387" s="18">
        <f>SUM(G387:K387)</f>
        <v>31471.478628999888</v>
      </c>
    </row>
    <row r="388" spans="1:13" ht="25.5">
      <c r="A388" s="12">
        <v>385</v>
      </c>
      <c r="B388" s="13" t="s">
        <v>925</v>
      </c>
      <c r="C388" s="14" t="s">
        <v>926</v>
      </c>
      <c r="D388" s="14" t="s">
        <v>924</v>
      </c>
      <c r="E388" s="15">
        <v>1</v>
      </c>
      <c r="F388" s="16">
        <v>1</v>
      </c>
      <c r="G388" s="17">
        <f>E388 * F388 * 23859.015</f>
        <v>23859.014999999999</v>
      </c>
      <c r="H388" s="17">
        <f>E388 * F388 * 0</f>
        <v>0</v>
      </c>
      <c r="I388" s="17">
        <f t="shared" si="54"/>
        <v>0</v>
      </c>
      <c r="J388" s="17">
        <f>E388 * F388 * 23906.73303</f>
        <v>23906.733029999999</v>
      </c>
      <c r="K388" s="17">
        <f>E388 * F388 * 7308.159449</f>
        <v>7308.1594489999998</v>
      </c>
      <c r="L388" s="24">
        <f t="shared" ref="L388:L392" si="56">M388/E388/F388/100000</f>
        <v>0.55073907479000006</v>
      </c>
      <c r="M388" s="18">
        <f>SUM(G388:K388)</f>
        <v>55073.907479000001</v>
      </c>
    </row>
    <row r="389" spans="1:13" ht="25.5">
      <c r="A389" s="12">
        <v>386</v>
      </c>
      <c r="B389" s="13" t="s">
        <v>927</v>
      </c>
      <c r="C389" s="14" t="s">
        <v>928</v>
      </c>
      <c r="D389" s="14" t="s">
        <v>924</v>
      </c>
      <c r="E389" s="15">
        <v>1</v>
      </c>
      <c r="F389" s="16">
        <v>1</v>
      </c>
      <c r="G389" s="17">
        <f>E389 * F389 * 27265.985</f>
        <v>27265.985000000001</v>
      </c>
      <c r="H389" s="17">
        <f>E389 * F389 * 0</f>
        <v>0</v>
      </c>
      <c r="I389" s="17">
        <f t="shared" si="54"/>
        <v>0</v>
      </c>
      <c r="J389" s="17">
        <f>E389 * F389 * 27320.51697</f>
        <v>27320.516970000001</v>
      </c>
      <c r="K389" s="17">
        <f>E389 * F389 * 8351.734801</f>
        <v>8351.7348010000005</v>
      </c>
      <c r="L389" s="24">
        <f t="shared" si="56"/>
        <v>0.62938236771</v>
      </c>
      <c r="M389" s="18">
        <f>SUM(G389:K389)</f>
        <v>62938.236770999996</v>
      </c>
    </row>
    <row r="390" spans="1:13" ht="25.5">
      <c r="A390" s="12">
        <v>387</v>
      </c>
      <c r="B390" s="13" t="s">
        <v>929</v>
      </c>
      <c r="C390" s="14" t="s">
        <v>930</v>
      </c>
      <c r="D390" s="14" t="s">
        <v>924</v>
      </c>
      <c r="E390" s="15">
        <v>1</v>
      </c>
      <c r="F390" s="16">
        <v>2</v>
      </c>
      <c r="G390" s="17">
        <f>E390 * F390 * 238584.015</f>
        <v>477168.03</v>
      </c>
      <c r="H390" s="17">
        <f>E390 * F390 * 1652.181504</f>
        <v>3304.3630079999998</v>
      </c>
      <c r="I390" s="17">
        <f t="shared" si="54"/>
        <v>0</v>
      </c>
      <c r="J390" s="17">
        <f>E390 * F390 * 239061.18303</f>
        <v>478122.36605999997</v>
      </c>
      <c r="K390" s="17">
        <f>E390 * F390 * 73332.499069</f>
        <v>146664.998138</v>
      </c>
      <c r="L390" s="24">
        <f t="shared" si="56"/>
        <v>5.5262987860299999</v>
      </c>
      <c r="M390" s="18">
        <f>SUM(G390:K390)</f>
        <v>1105259.7572059999</v>
      </c>
    </row>
    <row r="391" spans="1:13">
      <c r="A391" s="12">
        <v>388</v>
      </c>
      <c r="B391" s="13" t="s">
        <v>931</v>
      </c>
      <c r="C391" s="14" t="s">
        <v>932</v>
      </c>
      <c r="D391" s="14" t="s">
        <v>933</v>
      </c>
      <c r="E391" s="15">
        <v>1</v>
      </c>
      <c r="F391" s="16">
        <v>80</v>
      </c>
      <c r="G391" s="17">
        <f>E391 * F391 * 26243.485</f>
        <v>2099478.7999999998</v>
      </c>
      <c r="H391" s="17">
        <f>E391 * F391 * 184.369536</f>
        <v>14749.562880000001</v>
      </c>
      <c r="I391" s="17">
        <f t="shared" si="54"/>
        <v>0</v>
      </c>
      <c r="J391" s="17">
        <f>E391 * F391 * 26295.97197</f>
        <v>2103677.7576000001</v>
      </c>
      <c r="K391" s="17">
        <f>E391 * F391 * 8066.745456</f>
        <v>645339.63647999999</v>
      </c>
      <c r="L391" s="24">
        <f t="shared" si="56"/>
        <v>0.60790571962000006</v>
      </c>
      <c r="M391" s="18">
        <f>SUM(G391:K391)</f>
        <v>4863245.7569599999</v>
      </c>
    </row>
    <row r="392" spans="1:13">
      <c r="A392" s="12">
        <v>389</v>
      </c>
      <c r="B392" s="13" t="s">
        <v>934</v>
      </c>
      <c r="C392" s="14" t="s">
        <v>935</v>
      </c>
      <c r="D392" s="14" t="s">
        <v>936</v>
      </c>
      <c r="E392" s="15">
        <v>1</v>
      </c>
      <c r="F392" s="16">
        <v>1</v>
      </c>
      <c r="G392" s="17">
        <f>E392 * F392 * 20450</f>
        <v>20450</v>
      </c>
      <c r="H392" s="17">
        <f>E392 * F392 * 0</f>
        <v>0</v>
      </c>
      <c r="I392" s="17">
        <f t="shared" si="54"/>
        <v>0</v>
      </c>
      <c r="J392" s="17">
        <f>E392 * F392 * 20490.9</f>
        <v>20490.900000000001</v>
      </c>
      <c r="K392" s="17">
        <f>E392 * F392 * 6263.9577</f>
        <v>6263.9576999999999</v>
      </c>
      <c r="L392" s="24">
        <f t="shared" si="56"/>
        <v>0.47204857700000002</v>
      </c>
      <c r="M392" s="18">
        <f>SUM(G392:K392)</f>
        <v>47204.8577</v>
      </c>
    </row>
    <row r="393" spans="1:13">
      <c r="A393" s="12">
        <v>390</v>
      </c>
      <c r="B393" s="13" t="s">
        <v>937</v>
      </c>
      <c r="C393" s="14" t="s">
        <v>938</v>
      </c>
      <c r="D393" s="14" t="s">
        <v>939</v>
      </c>
      <c r="E393" s="15">
        <v>1</v>
      </c>
      <c r="F393" s="16">
        <v>1</v>
      </c>
      <c r="G393" s="17">
        <f>E393 * F393 * 217.44485</f>
        <v>217.44485</v>
      </c>
      <c r="H393" s="17">
        <f>E393 * F393 * 46.092384</f>
        <v>46.092384000000003</v>
      </c>
      <c r="I393" s="17">
        <f>E393 * F393 * 29.205</f>
        <v>29.204999999999998</v>
      </c>
      <c r="J393" s="17">
        <f>E393 * F393 * 217.87974</f>
        <v>217.87974</v>
      </c>
      <c r="K393" s="17">
        <f>E393 * F393 * 78.125162</f>
        <v>78.125162000000003</v>
      </c>
      <c r="L393" s="24">
        <f>M393/E393/F393/100000</f>
        <v>5.8874713600000003E-3</v>
      </c>
      <c r="M393" s="18">
        <f>SUM(G393:K393)</f>
        <v>588.74713600000007</v>
      </c>
    </row>
    <row r="394" spans="1:13">
      <c r="A394" s="12">
        <v>391</v>
      </c>
      <c r="B394" s="13" t="s">
        <v>940</v>
      </c>
      <c r="C394" s="14" t="s">
        <v>941</v>
      </c>
      <c r="D394" s="14" t="s">
        <v>942</v>
      </c>
      <c r="E394" s="15">
        <v>1</v>
      </c>
      <c r="F394" s="16">
        <v>1</v>
      </c>
      <c r="G394" s="17">
        <f>E394 * F394 * 492.845</f>
        <v>492.84500000000003</v>
      </c>
      <c r="H394" s="17">
        <f>E394 * F394 * 768.2064</f>
        <v>768.20640000000003</v>
      </c>
      <c r="I394" s="17">
        <f>E394 * F394 * 0</f>
        <v>0</v>
      </c>
      <c r="J394" s="17">
        <f>E394 * F394 * 493.83069</f>
        <v>493.83069</v>
      </c>
      <c r="K394" s="17">
        <f>E394 * F394 * 268.49696</f>
        <v>268.49696</v>
      </c>
      <c r="L394" s="24">
        <f t="shared" ref="L394:L397" si="57">M394/E394/F394/100</f>
        <v>20.233790500000001</v>
      </c>
      <c r="M394" s="18">
        <f>SUM(G394:K394)</f>
        <v>2023.37905</v>
      </c>
    </row>
    <row r="395" spans="1:13">
      <c r="A395" s="12">
        <v>392</v>
      </c>
      <c r="B395" s="13" t="s">
        <v>943</v>
      </c>
      <c r="C395" s="14" t="s">
        <v>944</v>
      </c>
      <c r="D395" s="14" t="s">
        <v>945</v>
      </c>
      <c r="E395" s="15">
        <v>1</v>
      </c>
      <c r="F395" s="16">
        <v>1</v>
      </c>
      <c r="G395" s="17">
        <f>E395 * F395 * 185690.4</f>
        <v>185690.4</v>
      </c>
      <c r="H395" s="17">
        <f t="shared" ref="H395:H400" si="58">E395 * F395 * 0</f>
        <v>0</v>
      </c>
      <c r="I395" s="17">
        <f>E395 * F395 * 458166.36</f>
        <v>458166.36</v>
      </c>
      <c r="J395" s="17">
        <f>E395 * F395 * 299396.45772</f>
        <v>299396.45772000001</v>
      </c>
      <c r="K395" s="17">
        <f>E395 * F395 * 144317.742311</f>
        <v>144317.74231100001</v>
      </c>
      <c r="L395" s="24">
        <f t="shared" si="57"/>
        <v>10875.70960031</v>
      </c>
      <c r="M395" s="18">
        <f>SUM(G395:K395)</f>
        <v>1087570.960031</v>
      </c>
    </row>
    <row r="396" spans="1:13">
      <c r="A396" s="12">
        <v>393</v>
      </c>
      <c r="B396" s="13" t="s">
        <v>946</v>
      </c>
      <c r="C396" s="14" t="s">
        <v>947</v>
      </c>
      <c r="D396" s="14" t="s">
        <v>945</v>
      </c>
      <c r="E396" s="15">
        <v>1</v>
      </c>
      <c r="F396" s="16">
        <v>1</v>
      </c>
      <c r="G396" s="17">
        <f>E396 * F396 * 61378.078125</f>
        <v>61378.078125</v>
      </c>
      <c r="H396" s="17">
        <f t="shared" si="58"/>
        <v>0</v>
      </c>
      <c r="I396" s="17">
        <f>E396 * F396 * 0</f>
        <v>0</v>
      </c>
      <c r="J396" s="17">
        <f>E396 * F396 * 61500.834282</f>
        <v>61500.834282000003</v>
      </c>
      <c r="K396" s="17">
        <f>E396 * F396 * 18800.473598</f>
        <v>18800.473598</v>
      </c>
      <c r="L396" s="24">
        <f t="shared" si="57"/>
        <v>1416.7938600500001</v>
      </c>
      <c r="M396" s="18">
        <f>SUM(G396:K396)</f>
        <v>141679.38600500001</v>
      </c>
    </row>
    <row r="397" spans="1:13" ht="25.5">
      <c r="A397" s="12">
        <v>394</v>
      </c>
      <c r="B397" s="13" t="s">
        <v>948</v>
      </c>
      <c r="C397" s="14" t="s">
        <v>949</v>
      </c>
      <c r="D397" s="14" t="s">
        <v>945</v>
      </c>
      <c r="E397" s="15">
        <v>1</v>
      </c>
      <c r="F397" s="16">
        <v>1</v>
      </c>
      <c r="G397" s="17">
        <f>E397 * F397 * 105224.56</f>
        <v>105224.56</v>
      </c>
      <c r="H397" s="17">
        <f t="shared" si="58"/>
        <v>0</v>
      </c>
      <c r="I397" s="17">
        <f>E397 * F397 * 81287.58</f>
        <v>81287.58</v>
      </c>
      <c r="J397" s="17">
        <f>E397 * F397 * 125542.774379999</f>
        <v>125542.774379999</v>
      </c>
      <c r="K397" s="17">
        <f>E397 * F397 * 47744.401901</f>
        <v>47744.401900999997</v>
      </c>
      <c r="L397" s="24">
        <f t="shared" si="57"/>
        <v>3597.9931628099903</v>
      </c>
      <c r="M397" s="18">
        <f>SUM(G397:K397)</f>
        <v>359799.31628099905</v>
      </c>
    </row>
    <row r="398" spans="1:13">
      <c r="A398" s="12">
        <v>395</v>
      </c>
      <c r="B398" s="13" t="s">
        <v>950</v>
      </c>
      <c r="C398" s="14" t="s">
        <v>951</v>
      </c>
      <c r="D398" s="14" t="s">
        <v>952</v>
      </c>
      <c r="E398" s="15">
        <v>1</v>
      </c>
      <c r="F398" s="16">
        <v>1</v>
      </c>
      <c r="G398" s="17">
        <f>E398 * F398 * 208901.7</f>
        <v>208901.7</v>
      </c>
      <c r="H398" s="17">
        <f t="shared" si="58"/>
        <v>0</v>
      </c>
      <c r="I398" s="17">
        <f t="shared" ref="I398:I414" si="59">E398 * F398 * 0</f>
        <v>0</v>
      </c>
      <c r="J398" s="17">
        <f>E398 * F398 * 209319.5034</f>
        <v>209319.50339999999</v>
      </c>
      <c r="K398" s="17">
        <f>E398 * F398 * 63987.84412</f>
        <v>63987.844120000002</v>
      </c>
      <c r="L398" s="24">
        <f>M398/E398/F398/1000</f>
        <v>482.20904752000001</v>
      </c>
      <c r="M398" s="18">
        <f>SUM(G398:K398)</f>
        <v>482209.04752000002</v>
      </c>
    </row>
    <row r="399" spans="1:13">
      <c r="A399" s="12">
        <v>396</v>
      </c>
      <c r="B399" s="13" t="s">
        <v>953</v>
      </c>
      <c r="C399" s="14" t="s">
        <v>954</v>
      </c>
      <c r="D399" s="14" t="s">
        <v>952</v>
      </c>
      <c r="E399" s="15">
        <v>1</v>
      </c>
      <c r="F399" s="16">
        <v>1</v>
      </c>
      <c r="G399" s="17">
        <f>E399 * F399 * 77371</f>
        <v>77371</v>
      </c>
      <c r="H399" s="17">
        <f t="shared" si="58"/>
        <v>0</v>
      </c>
      <c r="I399" s="17">
        <f t="shared" si="59"/>
        <v>0</v>
      </c>
      <c r="J399" s="17">
        <f>E399 * F399 * 77525.742</f>
        <v>77525.741999999998</v>
      </c>
      <c r="K399" s="17">
        <f>E399 * F399 * 23699.2015259999</f>
        <v>23699.201525999899</v>
      </c>
      <c r="L399" s="24">
        <f t="shared" ref="L399:L401" si="60">M399/E399/F399/1000</f>
        <v>178.5959435259999</v>
      </c>
      <c r="M399" s="18">
        <f>SUM(G399:K399)</f>
        <v>178595.9435259999</v>
      </c>
    </row>
    <row r="400" spans="1:13">
      <c r="A400" s="12">
        <v>397</v>
      </c>
      <c r="B400" s="13" t="s">
        <v>955</v>
      </c>
      <c r="C400" s="14" t="s">
        <v>956</v>
      </c>
      <c r="D400" s="14" t="s">
        <v>957</v>
      </c>
      <c r="E400" s="15">
        <v>1</v>
      </c>
      <c r="F400" s="16">
        <v>1</v>
      </c>
      <c r="G400" s="17">
        <f>E400 * F400 * 43327.76</f>
        <v>43327.76</v>
      </c>
      <c r="H400" s="17">
        <f t="shared" si="58"/>
        <v>0</v>
      </c>
      <c r="I400" s="17">
        <f t="shared" si="59"/>
        <v>0</v>
      </c>
      <c r="J400" s="17">
        <f>E400 * F400 * 43414.41552</f>
        <v>43414.415520000002</v>
      </c>
      <c r="K400" s="17">
        <f>E400 * F400 * 13271.552854</f>
        <v>13271.552854</v>
      </c>
      <c r="L400" s="24">
        <f t="shared" si="60"/>
        <v>100.013728374</v>
      </c>
      <c r="M400" s="18">
        <f>SUM(G400:K400)</f>
        <v>100013.728374</v>
      </c>
    </row>
    <row r="401" spans="1:13">
      <c r="A401" s="12">
        <v>398</v>
      </c>
      <c r="B401" s="13" t="s">
        <v>958</v>
      </c>
      <c r="C401" s="14" t="s">
        <v>959</v>
      </c>
      <c r="D401" s="14" t="s">
        <v>957</v>
      </c>
      <c r="E401" s="15">
        <v>1</v>
      </c>
      <c r="F401" s="16">
        <v>1</v>
      </c>
      <c r="G401" s="17">
        <f>E401 * F401 * 470.35</f>
        <v>470.35</v>
      </c>
      <c r="H401" s="17">
        <f>E401 * F401 * 2.227799</f>
        <v>2.2277990000000001</v>
      </c>
      <c r="I401" s="17">
        <f t="shared" si="59"/>
        <v>0</v>
      </c>
      <c r="J401" s="17">
        <f>E401 * F401 * 471.2907</f>
        <v>471.29070000000002</v>
      </c>
      <c r="K401" s="17">
        <f>E401 * F401 * 144.41188</f>
        <v>144.41188</v>
      </c>
      <c r="L401" s="24">
        <f t="shared" si="60"/>
        <v>1.088280379</v>
      </c>
      <c r="M401" s="18">
        <f>SUM(G401:K401)</f>
        <v>1088.280379</v>
      </c>
    </row>
    <row r="402" spans="1:13">
      <c r="A402" s="12">
        <v>399</v>
      </c>
      <c r="B402" s="13" t="s">
        <v>960</v>
      </c>
      <c r="C402" s="14" t="s">
        <v>961</v>
      </c>
      <c r="D402" s="14" t="s">
        <v>962</v>
      </c>
      <c r="E402" s="15">
        <v>1</v>
      </c>
      <c r="F402" s="16">
        <v>1</v>
      </c>
      <c r="G402" s="17">
        <f>E402 * F402 * 93.470222</f>
        <v>93.470222000000007</v>
      </c>
      <c r="H402" s="17">
        <f>E402 * F402 * 34.462732</f>
        <v>34.462732000000003</v>
      </c>
      <c r="I402" s="17">
        <f t="shared" si="59"/>
        <v>0</v>
      </c>
      <c r="J402" s="17">
        <f>E402 * F402 * 93.657162</f>
        <v>93.657162</v>
      </c>
      <c r="K402" s="17">
        <f>E402 * F402 * 33.903288</f>
        <v>33.903288000000003</v>
      </c>
      <c r="L402" s="24">
        <f>M402/E402/F402</f>
        <v>255.49340400000003</v>
      </c>
      <c r="M402" s="18">
        <f>SUM(G402:K402)</f>
        <v>255.49340400000003</v>
      </c>
    </row>
    <row r="403" spans="1:13">
      <c r="A403" s="12">
        <v>400</v>
      </c>
      <c r="B403" s="13" t="s">
        <v>963</v>
      </c>
      <c r="C403" s="14" t="s">
        <v>964</v>
      </c>
      <c r="D403" s="14" t="s">
        <v>962</v>
      </c>
      <c r="E403" s="15">
        <v>1</v>
      </c>
      <c r="F403" s="16">
        <v>1</v>
      </c>
      <c r="G403" s="17">
        <f>E403 * F403 * 78.655608</f>
        <v>78.655608000000001</v>
      </c>
      <c r="H403" s="17">
        <f>E403 * F403 * 92.94722</f>
        <v>92.947220000000002</v>
      </c>
      <c r="I403" s="17">
        <f t="shared" si="59"/>
        <v>0</v>
      </c>
      <c r="J403" s="17">
        <f>E403 * F403 * 78.8129199999999</f>
        <v>78.812919999999906</v>
      </c>
      <c r="K403" s="17">
        <f>E403 * F403 * 38.31361</f>
        <v>38.313609999999997</v>
      </c>
      <c r="L403" s="24">
        <f t="shared" ref="L403:L427" si="61">M403/E403/F403</f>
        <v>288.72935799999988</v>
      </c>
      <c r="M403" s="18">
        <f>SUM(G403:K403)</f>
        <v>288.72935799999988</v>
      </c>
    </row>
    <row r="404" spans="1:13">
      <c r="A404" s="12">
        <v>401</v>
      </c>
      <c r="B404" s="13" t="s">
        <v>965</v>
      </c>
      <c r="C404" s="14" t="s">
        <v>966</v>
      </c>
      <c r="D404" s="14" t="s">
        <v>962</v>
      </c>
      <c r="E404" s="15">
        <v>1</v>
      </c>
      <c r="F404" s="16">
        <v>1</v>
      </c>
      <c r="G404" s="17">
        <f>E404 * F404 * 268.477825</f>
        <v>268.477825</v>
      </c>
      <c r="H404" s="17">
        <f>E404 * F404 * 65.708966</f>
        <v>65.708966000000004</v>
      </c>
      <c r="I404" s="17">
        <f t="shared" si="59"/>
        <v>0</v>
      </c>
      <c r="J404" s="17">
        <f>E404 * F404 * 269.014781</f>
        <v>269.01478100000003</v>
      </c>
      <c r="K404" s="17">
        <f>E404 * F404 * 92.289841</f>
        <v>92.289840999999996</v>
      </c>
      <c r="L404" s="24">
        <f t="shared" si="61"/>
        <v>695.49141299999997</v>
      </c>
      <c r="M404" s="18">
        <f>SUM(G404:K404)</f>
        <v>695.49141299999997</v>
      </c>
    </row>
    <row r="405" spans="1:13">
      <c r="A405" s="12">
        <v>402</v>
      </c>
      <c r="B405" s="13" t="s">
        <v>967</v>
      </c>
      <c r="C405" s="14" t="s">
        <v>968</v>
      </c>
      <c r="D405" s="14" t="s">
        <v>969</v>
      </c>
      <c r="E405" s="15">
        <v>1</v>
      </c>
      <c r="F405" s="16">
        <v>1</v>
      </c>
      <c r="G405" s="17">
        <f>E405 * F405 * 131.35444</f>
        <v>131.35444000000001</v>
      </c>
      <c r="H405" s="17">
        <f>E405 * F405 * 44.016943</f>
        <v>44.016942999999998</v>
      </c>
      <c r="I405" s="17">
        <f t="shared" si="59"/>
        <v>0</v>
      </c>
      <c r="J405" s="17">
        <f>E405 * F405 * 131.617149</f>
        <v>131.61714900000001</v>
      </c>
      <c r="K405" s="17">
        <f>E405 * F405 * 46.969246</f>
        <v>46.969245999999998</v>
      </c>
      <c r="L405" s="24">
        <f t="shared" si="61"/>
        <v>353.95777800000002</v>
      </c>
      <c r="M405" s="18">
        <f>SUM(G405:K405)</f>
        <v>353.95777800000002</v>
      </c>
    </row>
    <row r="406" spans="1:13">
      <c r="A406" s="12">
        <v>403</v>
      </c>
      <c r="B406" s="13" t="s">
        <v>970</v>
      </c>
      <c r="C406" s="14" t="s">
        <v>971</v>
      </c>
      <c r="D406" s="14" t="s">
        <v>969</v>
      </c>
      <c r="E406" s="15">
        <v>1</v>
      </c>
      <c r="F406" s="16">
        <v>1</v>
      </c>
      <c r="G406" s="17">
        <f>E406 * F406 * 133.573265</f>
        <v>133.57326499999999</v>
      </c>
      <c r="H406" s="17">
        <f>E406 * F406 * 45.109662</f>
        <v>45.109662</v>
      </c>
      <c r="I406" s="17">
        <f t="shared" si="59"/>
        <v>0</v>
      </c>
      <c r="J406" s="17">
        <f>E406 * F406 * 133.840412</f>
        <v>133.84041199999999</v>
      </c>
      <c r="K406" s="17">
        <f>E406 * F406 * 47.8160709999999</f>
        <v>47.816070999999901</v>
      </c>
      <c r="L406" s="24">
        <f t="shared" si="61"/>
        <v>360.33940999999987</v>
      </c>
      <c r="M406" s="18">
        <f>SUM(G406:K406)</f>
        <v>360.33940999999987</v>
      </c>
    </row>
    <row r="407" spans="1:13">
      <c r="A407" s="12">
        <v>404</v>
      </c>
      <c r="B407" s="13" t="s">
        <v>972</v>
      </c>
      <c r="C407" s="14" t="s">
        <v>973</v>
      </c>
      <c r="D407" s="14" t="s">
        <v>974</v>
      </c>
      <c r="E407" s="15">
        <v>1</v>
      </c>
      <c r="F407" s="16">
        <v>1</v>
      </c>
      <c r="G407" s="17">
        <f>E407 * F407 * 133.795147</f>
        <v>133.79514699999999</v>
      </c>
      <c r="H407" s="17">
        <f>E407 * F407 * 50.772531</f>
        <v>50.772531000000001</v>
      </c>
      <c r="I407" s="17">
        <f t="shared" si="59"/>
        <v>0</v>
      </c>
      <c r="J407" s="17">
        <f>E407 * F407 * 134.062737</f>
        <v>134.062737</v>
      </c>
      <c r="K407" s="17">
        <f>E407 * F407 * 48.750454</f>
        <v>48.750453999999998</v>
      </c>
      <c r="L407" s="24">
        <f t="shared" si="61"/>
        <v>367.38086899999996</v>
      </c>
      <c r="M407" s="18">
        <f>SUM(G407:K407)</f>
        <v>367.38086899999996</v>
      </c>
    </row>
    <row r="408" spans="1:13">
      <c r="A408" s="12">
        <v>405</v>
      </c>
      <c r="B408" s="13" t="s">
        <v>975</v>
      </c>
      <c r="C408" s="14" t="s">
        <v>976</v>
      </c>
      <c r="D408" s="14" t="s">
        <v>977</v>
      </c>
      <c r="E408" s="15">
        <v>1</v>
      </c>
      <c r="F408" s="16">
        <v>1</v>
      </c>
      <c r="G408" s="17">
        <f>E408 * F408 * 144.223625</f>
        <v>144.223625</v>
      </c>
      <c r="H408" s="17">
        <f>E408 * F408 * 48.77274</f>
        <v>48.772739999999999</v>
      </c>
      <c r="I408" s="17">
        <f t="shared" si="59"/>
        <v>0</v>
      </c>
      <c r="J408" s="17">
        <f>E408 * F408 * 144.512073</f>
        <v>144.51207299999999</v>
      </c>
      <c r="K408" s="17">
        <f>E408 * F408 * 51.63879</f>
        <v>51.63879</v>
      </c>
      <c r="L408" s="24">
        <f t="shared" si="61"/>
        <v>389.14722799999993</v>
      </c>
      <c r="M408" s="18">
        <f>SUM(G408:K408)</f>
        <v>389.14722799999993</v>
      </c>
    </row>
    <row r="409" spans="1:13">
      <c r="A409" s="12">
        <v>406</v>
      </c>
      <c r="B409" s="13" t="s">
        <v>978</v>
      </c>
      <c r="C409" s="14" t="s">
        <v>979</v>
      </c>
      <c r="D409" s="14" t="s">
        <v>980</v>
      </c>
      <c r="E409" s="15">
        <v>1</v>
      </c>
      <c r="F409" s="16">
        <v>1</v>
      </c>
      <c r="G409" s="17">
        <f>E409 * F409 * 308.416675</f>
        <v>308.416675</v>
      </c>
      <c r="H409" s="17">
        <f>E409 * F409 * 44.725804</f>
        <v>44.725803999999997</v>
      </c>
      <c r="I409" s="17">
        <f t="shared" si="59"/>
        <v>0</v>
      </c>
      <c r="J409" s="17">
        <f>E409 * F409 * 309.033509</f>
        <v>309.03350899999998</v>
      </c>
      <c r="K409" s="17">
        <f>E409 * F409 * 101.312926</f>
        <v>101.312926</v>
      </c>
      <c r="L409" s="24">
        <f t="shared" si="61"/>
        <v>763.48891400000002</v>
      </c>
      <c r="M409" s="18">
        <f>SUM(G409:K409)</f>
        <v>763.48891400000002</v>
      </c>
    </row>
    <row r="410" spans="1:13">
      <c r="A410" s="12">
        <v>407</v>
      </c>
      <c r="B410" s="13" t="s">
        <v>981</v>
      </c>
      <c r="C410" s="14" t="s">
        <v>982</v>
      </c>
      <c r="D410" s="14" t="s">
        <v>983</v>
      </c>
      <c r="E410" s="15">
        <v>1</v>
      </c>
      <c r="F410" s="16">
        <v>1</v>
      </c>
      <c r="G410" s="17">
        <f>E410 * F410 * 181.05612</f>
        <v>181.05611999999999</v>
      </c>
      <c r="H410" s="17">
        <f>E410 * F410 * 59.66881</f>
        <v>59.668810000000001</v>
      </c>
      <c r="I410" s="17">
        <f t="shared" si="59"/>
        <v>0</v>
      </c>
      <c r="J410" s="17">
        <f>E410 * F410 * 181.418232</f>
        <v>181.41823199999999</v>
      </c>
      <c r="K410" s="17">
        <f>E410 * F410 * 64.587903</f>
        <v>64.587902999999997</v>
      </c>
      <c r="L410" s="24">
        <f t="shared" si="61"/>
        <v>486.73106499999994</v>
      </c>
      <c r="M410" s="18">
        <f>SUM(G410:K410)</f>
        <v>486.73106499999994</v>
      </c>
    </row>
    <row r="411" spans="1:13">
      <c r="A411" s="12">
        <v>408</v>
      </c>
      <c r="B411" s="13" t="s">
        <v>984</v>
      </c>
      <c r="C411" s="14" t="s">
        <v>985</v>
      </c>
      <c r="D411" s="14" t="s">
        <v>986</v>
      </c>
      <c r="E411" s="15">
        <v>1</v>
      </c>
      <c r="F411" s="16">
        <v>1</v>
      </c>
      <c r="G411" s="17">
        <f>E411 * F411 * 210.122728</f>
        <v>210.122728</v>
      </c>
      <c r="H411" s="17">
        <f>E411 * F411 * 30.322133</f>
        <v>30.322133000000001</v>
      </c>
      <c r="I411" s="17">
        <f t="shared" si="59"/>
        <v>0</v>
      </c>
      <c r="J411" s="17">
        <f>E411 * F411 * 210.542974</f>
        <v>210.54297399999999</v>
      </c>
      <c r="K411" s="17">
        <f>E411 * F411 * 69.001139</f>
        <v>69.001138999999995</v>
      </c>
      <c r="L411" s="24">
        <f t="shared" si="61"/>
        <v>519.98897399999998</v>
      </c>
      <c r="M411" s="18">
        <f>SUM(G411:K411)</f>
        <v>519.98897399999998</v>
      </c>
    </row>
    <row r="412" spans="1:13">
      <c r="A412" s="12">
        <v>409</v>
      </c>
      <c r="B412" s="13" t="s">
        <v>987</v>
      </c>
      <c r="C412" s="14" t="s">
        <v>988</v>
      </c>
      <c r="D412" s="14" t="s">
        <v>986</v>
      </c>
      <c r="E412" s="15">
        <v>1</v>
      </c>
      <c r="F412" s="16">
        <v>1</v>
      </c>
      <c r="G412" s="17">
        <f>E412 * F412 * 433.558405</f>
        <v>433.55840499999999</v>
      </c>
      <c r="H412" s="17">
        <f>E412 * F412 * 62.392828</f>
        <v>62.392828000000002</v>
      </c>
      <c r="I412" s="17">
        <f t="shared" si="59"/>
        <v>0</v>
      </c>
      <c r="J412" s="17">
        <f>E412 * F412 * 434.425522</f>
        <v>434.425522</v>
      </c>
      <c r="K412" s="17">
        <f>E412 * F412 * 142.347644</f>
        <v>142.347644</v>
      </c>
      <c r="L412" s="24">
        <f t="shared" si="61"/>
        <v>1072.7243989999999</v>
      </c>
      <c r="M412" s="18">
        <f>SUM(G412:K412)</f>
        <v>1072.7243989999999</v>
      </c>
    </row>
    <row r="413" spans="1:13" ht="25.5">
      <c r="A413" s="12">
        <v>410</v>
      </c>
      <c r="B413" s="13" t="s">
        <v>989</v>
      </c>
      <c r="C413" s="14" t="s">
        <v>990</v>
      </c>
      <c r="D413" s="14" t="s">
        <v>991</v>
      </c>
      <c r="E413" s="15">
        <v>1</v>
      </c>
      <c r="F413" s="16">
        <v>1</v>
      </c>
      <c r="G413" s="17">
        <f>E413 * F413 * 288.44725</f>
        <v>288.44725</v>
      </c>
      <c r="H413" s="17">
        <f>E413 * F413 * 30.100267</f>
        <v>30.100266999999999</v>
      </c>
      <c r="I413" s="17">
        <f t="shared" si="59"/>
        <v>0</v>
      </c>
      <c r="J413" s="17">
        <f>E413 * F413 * 289.024144</f>
        <v>289.02414399999998</v>
      </c>
      <c r="K413" s="17">
        <f>E413 * F413 * 92.9584639999999</f>
        <v>92.958463999999907</v>
      </c>
      <c r="L413" s="24">
        <f t="shared" si="61"/>
        <v>700.53012499999988</v>
      </c>
      <c r="M413" s="18">
        <f>SUM(G413:K413)</f>
        <v>700.53012499999988</v>
      </c>
    </row>
    <row r="414" spans="1:13">
      <c r="A414" s="12">
        <v>411</v>
      </c>
      <c r="B414" s="13" t="s">
        <v>992</v>
      </c>
      <c r="C414" s="14" t="s">
        <v>993</v>
      </c>
      <c r="D414" s="14" t="s">
        <v>991</v>
      </c>
      <c r="E414" s="15">
        <v>1</v>
      </c>
      <c r="F414" s="16">
        <v>1</v>
      </c>
      <c r="G414" s="17">
        <f>E414 * F414 * 48.81415</f>
        <v>48.814149999999998</v>
      </c>
      <c r="H414" s="17">
        <f>E414 * F414 * 18.792898</f>
        <v>18.792898000000001</v>
      </c>
      <c r="I414" s="17">
        <f t="shared" si="59"/>
        <v>0</v>
      </c>
      <c r="J414" s="17">
        <f>E414 * F414 * 48.911778</f>
        <v>48.911777999999998</v>
      </c>
      <c r="K414" s="17">
        <f>E414 * F414 * 17.82738</f>
        <v>17.827380000000002</v>
      </c>
      <c r="L414" s="24">
        <f t="shared" si="61"/>
        <v>134.346206</v>
      </c>
      <c r="M414" s="18">
        <f>SUM(G414:K414)</f>
        <v>134.346206</v>
      </c>
    </row>
    <row r="415" spans="1:13">
      <c r="A415" s="12">
        <v>412</v>
      </c>
      <c r="B415" s="13" t="s">
        <v>994</v>
      </c>
      <c r="C415" s="14" t="s">
        <v>995</v>
      </c>
      <c r="D415" s="14" t="s">
        <v>962</v>
      </c>
      <c r="E415" s="15">
        <v>1</v>
      </c>
      <c r="F415" s="16">
        <v>1</v>
      </c>
      <c r="G415" s="17">
        <f>E415 * F415 * 687.83575</f>
        <v>687.83574999999996</v>
      </c>
      <c r="H415" s="17">
        <f>E415 * F415 * 1459.817197</f>
        <v>1459.8171970000001</v>
      </c>
      <c r="I415" s="17">
        <f>E415 * F415 * 9.7256</f>
        <v>9.7256</v>
      </c>
      <c r="J415" s="17">
        <f>E415 * F415 * 689.211422</f>
        <v>689.21142199999997</v>
      </c>
      <c r="K415" s="17">
        <f>E415 * F415 * 435.528265</f>
        <v>435.52826499999998</v>
      </c>
      <c r="L415" s="24">
        <f t="shared" si="61"/>
        <v>3282.118234</v>
      </c>
      <c r="M415" s="18">
        <f>SUM(G415:K415)</f>
        <v>3282.118234</v>
      </c>
    </row>
    <row r="416" spans="1:13">
      <c r="A416" s="12">
        <v>413</v>
      </c>
      <c r="B416" s="13" t="s">
        <v>996</v>
      </c>
      <c r="C416" s="14" t="s">
        <v>997</v>
      </c>
      <c r="D416" s="14" t="s">
        <v>962</v>
      </c>
      <c r="E416" s="15">
        <v>1</v>
      </c>
      <c r="F416" s="16">
        <v>1</v>
      </c>
      <c r="G416" s="17">
        <f>E416 * F416 * 431.60907</f>
        <v>431.60906999999997</v>
      </c>
      <c r="H416" s="17">
        <f>E416 * F416 * 55.813274</f>
        <v>55.813274</v>
      </c>
      <c r="I416" s="17">
        <f>E416 * F416 * 0</f>
        <v>0</v>
      </c>
      <c r="J416" s="17">
        <f>E416 * F416 * 432.472288</f>
        <v>432.47228799999999</v>
      </c>
      <c r="K416" s="17">
        <f>E416 * F416 * 140.743879</f>
        <v>140.74387899999999</v>
      </c>
      <c r="L416" s="24">
        <f t="shared" si="61"/>
        <v>1060.6385110000001</v>
      </c>
      <c r="M416" s="18">
        <f>SUM(G416:K416)</f>
        <v>1060.6385110000001</v>
      </c>
    </row>
    <row r="417" spans="1:13">
      <c r="A417" s="12">
        <v>414</v>
      </c>
      <c r="B417" s="13" t="s">
        <v>998</v>
      </c>
      <c r="C417" s="14" t="s">
        <v>999</v>
      </c>
      <c r="D417" s="14" t="s">
        <v>969</v>
      </c>
      <c r="E417" s="15">
        <v>1</v>
      </c>
      <c r="F417" s="16">
        <v>1</v>
      </c>
      <c r="G417" s="17">
        <f>E417 * F417 * 998.47125</f>
        <v>998.47125000000005</v>
      </c>
      <c r="H417" s="17">
        <f>E417 * F417 * 699.183188</f>
        <v>699.18318799999997</v>
      </c>
      <c r="I417" s="17">
        <f>E417 * F417 * 9.7256</f>
        <v>9.7256</v>
      </c>
      <c r="J417" s="17">
        <f>E417 * F417 * 1000.468193</f>
        <v>1000.468193</v>
      </c>
      <c r="K417" s="17">
        <f>E417 * F417 * 414.30078</f>
        <v>414.30077999999997</v>
      </c>
      <c r="L417" s="24">
        <f t="shared" si="61"/>
        <v>3122.149011</v>
      </c>
      <c r="M417" s="18">
        <f>SUM(G417:K417)</f>
        <v>3122.149011</v>
      </c>
    </row>
    <row r="418" spans="1:13">
      <c r="A418" s="12">
        <v>415</v>
      </c>
      <c r="B418" s="13" t="s">
        <v>1000</v>
      </c>
      <c r="C418" s="14" t="s">
        <v>1001</v>
      </c>
      <c r="D418" s="14" t="s">
        <v>969</v>
      </c>
      <c r="E418" s="15">
        <v>1</v>
      </c>
      <c r="F418" s="16">
        <v>1</v>
      </c>
      <c r="G418" s="17">
        <f>E418 * F418 * 625.70865</f>
        <v>625.70865000000003</v>
      </c>
      <c r="H418" s="17">
        <f>E418 * F418 * 408.146382</f>
        <v>408.14638200000002</v>
      </c>
      <c r="I418" s="17">
        <f>E418 * F418 * 0</f>
        <v>0</v>
      </c>
      <c r="J418" s="17">
        <f>E418 * F418 * 626.960067</f>
        <v>626.96006699999998</v>
      </c>
      <c r="K418" s="17">
        <f>E418 * F418 * 254.104709999999</f>
        <v>254.10470999999899</v>
      </c>
      <c r="L418" s="24">
        <f t="shared" si="61"/>
        <v>1914.9198089999988</v>
      </c>
      <c r="M418" s="18">
        <f>SUM(G418:K418)</f>
        <v>1914.9198089999988</v>
      </c>
    </row>
    <row r="419" spans="1:13">
      <c r="A419" s="12">
        <v>416</v>
      </c>
      <c r="B419" s="13" t="s">
        <v>1002</v>
      </c>
      <c r="C419" s="14" t="s">
        <v>1003</v>
      </c>
      <c r="D419" s="14" t="s">
        <v>974</v>
      </c>
      <c r="E419" s="15">
        <v>1</v>
      </c>
      <c r="F419" s="16">
        <v>1</v>
      </c>
      <c r="G419" s="17">
        <f>E419 * F419 * 465.95325</f>
        <v>465.95325000000003</v>
      </c>
      <c r="H419" s="17">
        <f>E419 * F419 * 344.492488</f>
        <v>344.49248799999998</v>
      </c>
      <c r="I419" s="17">
        <f>E419 * F419 * 0</f>
        <v>0</v>
      </c>
      <c r="J419" s="17">
        <f>E419 * F419 * 466.885157</f>
        <v>466.88515699999999</v>
      </c>
      <c r="K419" s="17">
        <f>E419 * F419 * 195.431627</f>
        <v>195.43162699999999</v>
      </c>
      <c r="L419" s="24">
        <f t="shared" si="61"/>
        <v>1472.762522</v>
      </c>
      <c r="M419" s="18">
        <f>SUM(G419:K419)</f>
        <v>1472.762522</v>
      </c>
    </row>
    <row r="420" spans="1:13">
      <c r="A420" s="12">
        <v>417</v>
      </c>
      <c r="B420" s="13" t="s">
        <v>1004</v>
      </c>
      <c r="C420" s="14" t="s">
        <v>1005</v>
      </c>
      <c r="D420" s="14" t="s">
        <v>977</v>
      </c>
      <c r="E420" s="15">
        <v>1</v>
      </c>
      <c r="F420" s="16">
        <v>1</v>
      </c>
      <c r="G420" s="17">
        <f>E420 * F420 * 6143.186135</f>
        <v>6143.1861349999999</v>
      </c>
      <c r="H420" s="17">
        <f>E420 * F420 * 665.447526</f>
        <v>665.44752600000004</v>
      </c>
      <c r="I420" s="17">
        <f>E420 * F420 * 51.987</f>
        <v>51.987000000000002</v>
      </c>
      <c r="J420" s="17">
        <f>E420 * F420 * 6155.472508</f>
        <v>6155.4725079999998</v>
      </c>
      <c r="K420" s="17">
        <f>E420 * F420 * 1991.462255</f>
        <v>1991.4622549999999</v>
      </c>
      <c r="L420" s="24">
        <f t="shared" si="61"/>
        <v>15007.555424</v>
      </c>
      <c r="M420" s="18">
        <f>SUM(G420:K420)</f>
        <v>15007.555424</v>
      </c>
    </row>
    <row r="421" spans="1:13">
      <c r="A421" s="12">
        <v>418</v>
      </c>
      <c r="B421" s="13" t="s">
        <v>1006</v>
      </c>
      <c r="C421" s="14" t="s">
        <v>1007</v>
      </c>
      <c r="D421" s="14" t="s">
        <v>980</v>
      </c>
      <c r="E421" s="15">
        <v>1</v>
      </c>
      <c r="F421" s="16">
        <v>1</v>
      </c>
      <c r="G421" s="17">
        <f>E421 * F421 * 5749.544085</f>
        <v>5749.5440850000005</v>
      </c>
      <c r="H421" s="17">
        <f>E421 * F421 * 476.164092</f>
        <v>476.16409199999998</v>
      </c>
      <c r="I421" s="17">
        <f>E421 * F421 * 48.7878</f>
        <v>48.787799999999997</v>
      </c>
      <c r="J421" s="17">
        <f>E421 * F421 * 5761.043174</f>
        <v>5761.0431740000004</v>
      </c>
      <c r="K421" s="17">
        <f>E421 * F421 * 1841.43749</f>
        <v>1841.43749</v>
      </c>
      <c r="L421" s="24">
        <f t="shared" si="61"/>
        <v>13876.976641000001</v>
      </c>
      <c r="M421" s="18">
        <f>SUM(G421:K421)</f>
        <v>13876.976641000001</v>
      </c>
    </row>
    <row r="422" spans="1:13">
      <c r="A422" s="12">
        <v>419</v>
      </c>
      <c r="B422" s="13" t="s">
        <v>1008</v>
      </c>
      <c r="C422" s="14" t="s">
        <v>1009</v>
      </c>
      <c r="D422" s="14" t="s">
        <v>983</v>
      </c>
      <c r="E422" s="15">
        <v>1</v>
      </c>
      <c r="F422" s="16">
        <v>1</v>
      </c>
      <c r="G422" s="17">
        <f>E422 * F422 * 510.81646</f>
        <v>510.81646000000001</v>
      </c>
      <c r="H422" s="17">
        <f>E422 * F422 * 33.433474</f>
        <v>33.433473999999997</v>
      </c>
      <c r="I422" s="17">
        <f>E422 * F422 * 0</f>
        <v>0</v>
      </c>
      <c r="J422" s="17">
        <f>E422 * F422 * 511.838093</f>
        <v>511.83809300000001</v>
      </c>
      <c r="K422" s="17">
        <f>E422 * F422 * 161.581468</f>
        <v>161.581468</v>
      </c>
      <c r="L422" s="24">
        <f t="shared" si="61"/>
        <v>1217.6694950000001</v>
      </c>
      <c r="M422" s="18">
        <f>SUM(G422:K422)</f>
        <v>1217.6694950000001</v>
      </c>
    </row>
    <row r="423" spans="1:13">
      <c r="A423" s="12">
        <v>420</v>
      </c>
      <c r="B423" s="13" t="s">
        <v>1010</v>
      </c>
      <c r="C423" s="14" t="s">
        <v>1011</v>
      </c>
      <c r="D423" s="14" t="s">
        <v>986</v>
      </c>
      <c r="E423" s="15">
        <v>1</v>
      </c>
      <c r="F423" s="16">
        <v>1</v>
      </c>
      <c r="G423" s="17">
        <f>E423 * F423 * 2729.888905</f>
        <v>2729.8889049999998</v>
      </c>
      <c r="H423" s="17">
        <f>E423 * F423 * 344.361177</f>
        <v>344.361177</v>
      </c>
      <c r="I423" s="17">
        <f>E423 * F423 * 33.325</f>
        <v>33.325000000000003</v>
      </c>
      <c r="J423" s="17">
        <f>E423 * F423 * 2735.348683</f>
        <v>2735.3486830000002</v>
      </c>
      <c r="K423" s="17">
        <f>E423 * F423 * 893.967335999999</f>
        <v>893.96733599999902</v>
      </c>
      <c r="L423" s="24">
        <f t="shared" si="61"/>
        <v>6736.8911009999983</v>
      </c>
      <c r="M423" s="18">
        <f>SUM(G423:K423)</f>
        <v>6736.8911009999983</v>
      </c>
    </row>
    <row r="424" spans="1:13">
      <c r="A424" s="12">
        <v>421</v>
      </c>
      <c r="B424" s="13" t="s">
        <v>1012</v>
      </c>
      <c r="C424" s="14" t="s">
        <v>1013</v>
      </c>
      <c r="D424" s="14" t="s">
        <v>986</v>
      </c>
      <c r="E424" s="15">
        <v>1</v>
      </c>
      <c r="F424" s="16">
        <v>1</v>
      </c>
      <c r="G424" s="17">
        <f>E424 * F424 * 8106.439305</f>
        <v>8106.4393049999999</v>
      </c>
      <c r="H424" s="17">
        <f>E424 * F424 * 710.945568</f>
        <v>710.94556799999998</v>
      </c>
      <c r="I424" s="17">
        <f>E424 * F424 * 68.62284</f>
        <v>68.622839999999997</v>
      </c>
      <c r="J424" s="17">
        <f>E424 * F424 * 8122.652184</f>
        <v>8122.6521839999996</v>
      </c>
      <c r="K424" s="17">
        <f>E424 * F424 * 2602.324965</f>
        <v>2602.3249649999998</v>
      </c>
      <c r="L424" s="24">
        <f t="shared" si="61"/>
        <v>19610.984861999998</v>
      </c>
      <c r="M424" s="18">
        <f>SUM(G424:K424)</f>
        <v>19610.984861999998</v>
      </c>
    </row>
    <row r="425" spans="1:13" ht="25.5">
      <c r="A425" s="12">
        <v>422</v>
      </c>
      <c r="B425" s="13" t="s">
        <v>1014</v>
      </c>
      <c r="C425" s="14" t="s">
        <v>1015</v>
      </c>
      <c r="D425" s="14" t="s">
        <v>1016</v>
      </c>
      <c r="E425" s="15">
        <v>1</v>
      </c>
      <c r="F425" s="16">
        <v>1</v>
      </c>
      <c r="G425" s="17">
        <f>E425 * F425 * 221.8825</f>
        <v>221.88249999999999</v>
      </c>
      <c r="H425" s="17">
        <f>E425 * F425 * 2374.587184</f>
        <v>2374.587184</v>
      </c>
      <c r="I425" s="17">
        <f>E425 * F425 * 3.6085</f>
        <v>3.6084999999999998</v>
      </c>
      <c r="J425" s="17">
        <f>E425 * F425 * 222.326264999999</f>
        <v>222.32626499999901</v>
      </c>
      <c r="K425" s="17">
        <f>E425 * F425 * 431.827881</f>
        <v>431.82788099999999</v>
      </c>
      <c r="L425" s="24">
        <f t="shared" si="61"/>
        <v>3254.2323299999989</v>
      </c>
      <c r="M425" s="18">
        <f>SUM(G425:K425)</f>
        <v>3254.2323299999989</v>
      </c>
    </row>
    <row r="426" spans="1:13" ht="25.5">
      <c r="A426" s="12">
        <v>423</v>
      </c>
      <c r="B426" s="13" t="s">
        <v>1017</v>
      </c>
      <c r="C426" s="14" t="s">
        <v>1018</v>
      </c>
      <c r="D426" s="14" t="s">
        <v>1019</v>
      </c>
      <c r="E426" s="15">
        <v>1</v>
      </c>
      <c r="F426" s="16">
        <v>1</v>
      </c>
      <c r="G426" s="17">
        <f>E426 * F426 * 31374.58632</f>
        <v>31374.586319999999</v>
      </c>
      <c r="H426" s="17">
        <f>E426 * F426 * 17785.887984</f>
        <v>17785.887984000001</v>
      </c>
      <c r="I426" s="17">
        <f t="shared" ref="I426:I450" si="62">E426 * F426 * 0</f>
        <v>0</v>
      </c>
      <c r="J426" s="17">
        <f>E426 * F426 * 31437.335493</f>
        <v>31437.335492999999</v>
      </c>
      <c r="K426" s="17">
        <f>E426 * F426 * 12331.464899</f>
        <v>12331.464899000001</v>
      </c>
      <c r="L426" s="24">
        <f t="shared" ref="L426" si="63">M426/E426/F426/100</f>
        <v>929.29274695999993</v>
      </c>
      <c r="M426" s="18">
        <f>SUM(G426:K426)</f>
        <v>92929.274695999993</v>
      </c>
    </row>
    <row r="427" spans="1:13">
      <c r="A427" s="12">
        <v>424</v>
      </c>
      <c r="B427" s="13" t="s">
        <v>1020</v>
      </c>
      <c r="C427" s="14" t="s">
        <v>1021</v>
      </c>
      <c r="D427" s="14" t="s">
        <v>974</v>
      </c>
      <c r="E427" s="15">
        <v>1</v>
      </c>
      <c r="F427" s="16">
        <v>1</v>
      </c>
      <c r="G427" s="17">
        <f>E427 * F427 * 22.853898</f>
        <v>22.853898000000001</v>
      </c>
      <c r="H427" s="17">
        <f>E427 * F427 * 871.114176</f>
        <v>871.11417600000004</v>
      </c>
      <c r="I427" s="17">
        <f t="shared" si="62"/>
        <v>0</v>
      </c>
      <c r="J427" s="17">
        <f>E427 * F427 * 22.899606</f>
        <v>22.899605999999999</v>
      </c>
      <c r="K427" s="17">
        <f>E427 * F427 * 140.280755</f>
        <v>140.280755</v>
      </c>
      <c r="L427" s="24">
        <f t="shared" si="61"/>
        <v>1057.1484350000001</v>
      </c>
      <c r="M427" s="18">
        <f>SUM(G427:K427)</f>
        <v>1057.1484350000001</v>
      </c>
    </row>
    <row r="428" spans="1:13" ht="38.25">
      <c r="A428" s="12">
        <v>425</v>
      </c>
      <c r="B428" s="13" t="s">
        <v>1022</v>
      </c>
      <c r="C428" s="14" t="s">
        <v>1023</v>
      </c>
      <c r="D428" s="14" t="s">
        <v>1024</v>
      </c>
      <c r="E428" s="15">
        <v>1</v>
      </c>
      <c r="F428" s="16">
        <v>1</v>
      </c>
      <c r="G428" s="17">
        <f>E428 * F428 * 4770.985</f>
        <v>4770.9849999999997</v>
      </c>
      <c r="H428" s="17">
        <f t="shared" ref="H428:H434" si="64">E428 * F428 * 0</f>
        <v>0</v>
      </c>
      <c r="I428" s="17">
        <f t="shared" si="62"/>
        <v>0</v>
      </c>
      <c r="J428" s="17">
        <f>E428 * F428 * 4780.52697</f>
        <v>4780.5269699999999</v>
      </c>
      <c r="K428" s="17">
        <f>E428 * F428 * 1461.381331</f>
        <v>1461.381331</v>
      </c>
      <c r="L428" s="24">
        <f>M428/E428/F428/10000</f>
        <v>1.1012893301</v>
      </c>
      <c r="M428" s="18">
        <f>SUM(G428:K428)</f>
        <v>11012.893301</v>
      </c>
    </row>
    <row r="429" spans="1:13" ht="38.25">
      <c r="A429" s="12">
        <v>426</v>
      </c>
      <c r="B429" s="13" t="s">
        <v>1025</v>
      </c>
      <c r="C429" s="14" t="s">
        <v>1026</v>
      </c>
      <c r="D429" s="14" t="s">
        <v>1024</v>
      </c>
      <c r="E429" s="15">
        <v>1</v>
      </c>
      <c r="F429" s="16">
        <v>1</v>
      </c>
      <c r="G429" s="17">
        <f>E429 * F429 * 5454.015</f>
        <v>5454.0150000000003</v>
      </c>
      <c r="H429" s="17">
        <f t="shared" si="64"/>
        <v>0</v>
      </c>
      <c r="I429" s="17">
        <f t="shared" si="62"/>
        <v>0</v>
      </c>
      <c r="J429" s="17">
        <f>E429 * F429 * 5464.92303</f>
        <v>5464.9230299999999</v>
      </c>
      <c r="K429" s="17">
        <f>E429 * F429 * 1670.597519</f>
        <v>1670.5975189999999</v>
      </c>
      <c r="L429" s="24">
        <f t="shared" ref="L429:L433" si="65">M429/E429/F429/10000</f>
        <v>1.2589535548999999</v>
      </c>
      <c r="M429" s="18">
        <f>SUM(G429:K429)</f>
        <v>12589.535549</v>
      </c>
    </row>
    <row r="430" spans="1:13" ht="38.25">
      <c r="A430" s="12">
        <v>427</v>
      </c>
      <c r="B430" s="13" t="s">
        <v>1027</v>
      </c>
      <c r="C430" s="14" t="s">
        <v>1028</v>
      </c>
      <c r="D430" s="14" t="s">
        <v>1024</v>
      </c>
      <c r="E430" s="15">
        <v>1</v>
      </c>
      <c r="F430" s="16">
        <v>1</v>
      </c>
      <c r="G430" s="17">
        <f>E430 * F430 * 6815.985</f>
        <v>6815.9849999999997</v>
      </c>
      <c r="H430" s="17">
        <f t="shared" si="64"/>
        <v>0</v>
      </c>
      <c r="I430" s="17">
        <f t="shared" si="62"/>
        <v>0</v>
      </c>
      <c r="J430" s="17">
        <f>E430 * F430 * 6829.61697</f>
        <v>6829.61697</v>
      </c>
      <c r="K430" s="17">
        <f>E430 * F430 * 2087.777101</f>
        <v>2087.7771010000001</v>
      </c>
      <c r="L430" s="24">
        <f t="shared" si="65"/>
        <v>1.5733379071</v>
      </c>
      <c r="M430" s="18">
        <f>SUM(G430:K430)</f>
        <v>15733.379070999999</v>
      </c>
    </row>
    <row r="431" spans="1:13" ht="38.25">
      <c r="A431" s="12">
        <v>428</v>
      </c>
      <c r="B431" s="13" t="s">
        <v>1029</v>
      </c>
      <c r="C431" s="14" t="s">
        <v>1030</v>
      </c>
      <c r="D431" s="14" t="s">
        <v>1024</v>
      </c>
      <c r="E431" s="15">
        <v>1</v>
      </c>
      <c r="F431" s="16">
        <v>1</v>
      </c>
      <c r="G431" s="17">
        <f>E431 * F431 * 144853.485</f>
        <v>144853.48499999999</v>
      </c>
      <c r="H431" s="17">
        <f t="shared" si="64"/>
        <v>0</v>
      </c>
      <c r="I431" s="17">
        <f t="shared" si="62"/>
        <v>0</v>
      </c>
      <c r="J431" s="17">
        <f>E431 * F431 * 145143.191969999</f>
        <v>145143.191969999</v>
      </c>
      <c r="K431" s="17">
        <f>E431 * F431 * 44369.491576</f>
        <v>44369.491576</v>
      </c>
      <c r="L431" s="24">
        <f t="shared" si="65"/>
        <v>33.436616854599897</v>
      </c>
      <c r="M431" s="18">
        <f>SUM(G431:K431)</f>
        <v>334366.16854599898</v>
      </c>
    </row>
    <row r="432" spans="1:13" ht="38.25">
      <c r="A432" s="12">
        <v>429</v>
      </c>
      <c r="B432" s="13" t="s">
        <v>1031</v>
      </c>
      <c r="C432" s="14" t="s">
        <v>1032</v>
      </c>
      <c r="D432" s="14" t="s">
        <v>1024</v>
      </c>
      <c r="E432" s="15">
        <v>1</v>
      </c>
      <c r="F432" s="16">
        <v>1</v>
      </c>
      <c r="G432" s="17">
        <f>E432 * F432 * 152694.015</f>
        <v>152694.01500000001</v>
      </c>
      <c r="H432" s="17">
        <f t="shared" si="64"/>
        <v>0</v>
      </c>
      <c r="I432" s="17">
        <f t="shared" si="62"/>
        <v>0</v>
      </c>
      <c r="J432" s="17">
        <f>E432 * F432 * 152999.40303</f>
        <v>152999.40302999999</v>
      </c>
      <c r="K432" s="17">
        <f>E432 * F432 * 46771.0929589999</f>
        <v>46771.0929589999</v>
      </c>
      <c r="L432" s="24">
        <f t="shared" si="65"/>
        <v>35.246451098899989</v>
      </c>
      <c r="M432" s="18">
        <f>SUM(G432:K432)</f>
        <v>352464.51098899991</v>
      </c>
    </row>
    <row r="433" spans="1:13" ht="38.25">
      <c r="A433" s="12">
        <v>430</v>
      </c>
      <c r="B433" s="13" t="s">
        <v>1033</v>
      </c>
      <c r="C433" s="14" t="s">
        <v>1034</v>
      </c>
      <c r="D433" s="14" t="s">
        <v>1024</v>
      </c>
      <c r="E433" s="15">
        <v>1</v>
      </c>
      <c r="F433" s="16">
        <v>1</v>
      </c>
      <c r="G433" s="17">
        <f>E433 * F433 * 175189.015</f>
        <v>175189.01500000001</v>
      </c>
      <c r="H433" s="17">
        <f t="shared" si="64"/>
        <v>0</v>
      </c>
      <c r="I433" s="17">
        <f t="shared" si="62"/>
        <v>0</v>
      </c>
      <c r="J433" s="17">
        <f>E433 * F433 * 175539.39303</f>
        <v>175539.39303000001</v>
      </c>
      <c r="K433" s="17">
        <f>E433 * F433 * 53661.446429</f>
        <v>53661.446429000003</v>
      </c>
      <c r="L433" s="24">
        <f t="shared" si="65"/>
        <v>40.438985445900002</v>
      </c>
      <c r="M433" s="18">
        <f>SUM(G433:K433)</f>
        <v>404389.85445900005</v>
      </c>
    </row>
    <row r="434" spans="1:13">
      <c r="A434" s="12">
        <v>431</v>
      </c>
      <c r="B434" s="13" t="s">
        <v>1035</v>
      </c>
      <c r="C434" s="14" t="s">
        <v>1036</v>
      </c>
      <c r="D434" s="14" t="s">
        <v>1037</v>
      </c>
      <c r="E434" s="15">
        <v>1</v>
      </c>
      <c r="F434" s="16">
        <v>1</v>
      </c>
      <c r="G434" s="17">
        <f>E434 * F434 * 170.3485</f>
        <v>170.3485</v>
      </c>
      <c r="H434" s="17">
        <f t="shared" si="64"/>
        <v>0</v>
      </c>
      <c r="I434" s="17">
        <f t="shared" si="62"/>
        <v>0</v>
      </c>
      <c r="J434" s="17">
        <f>E434 * F434 * 170.689197</f>
        <v>170.68919700000001</v>
      </c>
      <c r="K434" s="17">
        <f>E434 * F434 * 52.178768</f>
        <v>52.178767999999998</v>
      </c>
      <c r="L434" s="24">
        <f>M434/E434/F434</f>
        <v>393.21646499999997</v>
      </c>
      <c r="M434" s="18">
        <f>SUM(G434:K434)</f>
        <v>393.21646499999997</v>
      </c>
    </row>
    <row r="435" spans="1:13">
      <c r="A435" s="12">
        <v>432</v>
      </c>
      <c r="B435" s="13" t="s">
        <v>1038</v>
      </c>
      <c r="C435" s="14" t="s">
        <v>1039</v>
      </c>
      <c r="D435" s="14" t="s">
        <v>59</v>
      </c>
      <c r="E435" s="15">
        <v>1</v>
      </c>
      <c r="F435" s="16">
        <v>1</v>
      </c>
      <c r="G435" s="17">
        <f>E435 * F435 * 44.172</f>
        <v>44.171999999999997</v>
      </c>
      <c r="H435" s="17">
        <f>E435 * F435 * 44.79456</f>
        <v>44.794559999999997</v>
      </c>
      <c r="I435" s="17">
        <f t="shared" si="62"/>
        <v>0</v>
      </c>
      <c r="J435" s="17">
        <f>E435 * F435 * 44.260344</f>
        <v>44.260344000000003</v>
      </c>
      <c r="K435" s="17">
        <f>E435 * F435 * 20.383716</f>
        <v>20.383716</v>
      </c>
      <c r="L435" s="24">
        <f t="shared" ref="L435:L445" si="66">M435/E435/F435/100</f>
        <v>1.5361061999999999</v>
      </c>
      <c r="M435" s="18">
        <f>SUM(G435:K435)</f>
        <v>153.61061999999998</v>
      </c>
    </row>
    <row r="436" spans="1:13">
      <c r="A436" s="12">
        <v>433</v>
      </c>
      <c r="B436" s="13" t="s">
        <v>1040</v>
      </c>
      <c r="C436" s="14" t="s">
        <v>1041</v>
      </c>
      <c r="D436" s="14" t="s">
        <v>59</v>
      </c>
      <c r="E436" s="15">
        <v>1</v>
      </c>
      <c r="F436" s="16">
        <v>1</v>
      </c>
      <c r="G436" s="17">
        <f>E436 * F436 * 51.125</f>
        <v>51.125</v>
      </c>
      <c r="H436" s="17">
        <f>E436 * F436 * 83.9898</f>
        <v>83.989800000000002</v>
      </c>
      <c r="I436" s="17">
        <f t="shared" si="62"/>
        <v>0</v>
      </c>
      <c r="J436" s="17">
        <f>E436 * F436 * 51.22725</f>
        <v>51.227249999999998</v>
      </c>
      <c r="K436" s="17">
        <f>E436 * F436 * 28.510334</f>
        <v>28.510334</v>
      </c>
      <c r="L436" s="24">
        <f t="shared" si="66"/>
        <v>2.1485238400000002</v>
      </c>
      <c r="M436" s="18">
        <f>SUM(G436:K436)</f>
        <v>214.852384</v>
      </c>
    </row>
    <row r="437" spans="1:13">
      <c r="A437" s="12">
        <v>434</v>
      </c>
      <c r="B437" s="13" t="s">
        <v>1042</v>
      </c>
      <c r="C437" s="14" t="s">
        <v>1043</v>
      </c>
      <c r="D437" s="14" t="s">
        <v>59</v>
      </c>
      <c r="E437" s="15">
        <v>1</v>
      </c>
      <c r="F437" s="16">
        <v>1</v>
      </c>
      <c r="G437" s="17">
        <f>E437 * F437 * 57.93485</f>
        <v>57.934849999999997</v>
      </c>
      <c r="H437" s="17">
        <f>E437 * F437 * 83.9898</f>
        <v>83.989800000000002</v>
      </c>
      <c r="I437" s="17">
        <f t="shared" si="62"/>
        <v>0</v>
      </c>
      <c r="J437" s="17">
        <f>E437 * F437 * 58.05072</f>
        <v>58.050719999999998</v>
      </c>
      <c r="K437" s="17">
        <f>E437 * F437 * 30.596231</f>
        <v>30.596231</v>
      </c>
      <c r="L437" s="24">
        <f t="shared" si="66"/>
        <v>2.3057160099999998</v>
      </c>
      <c r="M437" s="18">
        <f>SUM(G437:K437)</f>
        <v>230.57160099999999</v>
      </c>
    </row>
    <row r="438" spans="1:13" ht="25.5">
      <c r="A438" s="12">
        <v>435</v>
      </c>
      <c r="B438" s="13" t="s">
        <v>1044</v>
      </c>
      <c r="C438" s="14" t="s">
        <v>1045</v>
      </c>
      <c r="D438" s="14" t="s">
        <v>1046</v>
      </c>
      <c r="E438" s="15">
        <v>1</v>
      </c>
      <c r="F438" s="16">
        <v>1</v>
      </c>
      <c r="G438" s="17">
        <f>E438 * F438 * 552.15</f>
        <v>552.15</v>
      </c>
      <c r="H438" s="17">
        <f>E438 * F438 * 0</f>
        <v>0</v>
      </c>
      <c r="I438" s="17">
        <f t="shared" si="62"/>
        <v>0</v>
      </c>
      <c r="J438" s="17">
        <f>E438 * F438 * 553.2543</f>
        <v>553.25429999999994</v>
      </c>
      <c r="K438" s="17">
        <f>E438 * F438 * 169.126858</f>
        <v>169.126858</v>
      </c>
      <c r="L438" s="24">
        <f t="shared" si="66"/>
        <v>12.745311579999999</v>
      </c>
      <c r="M438" s="18">
        <f>SUM(G438:K438)</f>
        <v>1274.531158</v>
      </c>
    </row>
    <row r="439" spans="1:13">
      <c r="A439" s="12">
        <v>436</v>
      </c>
      <c r="B439" s="13" t="s">
        <v>1047</v>
      </c>
      <c r="C439" s="14" t="s">
        <v>1048</v>
      </c>
      <c r="D439" s="14" t="s">
        <v>1049</v>
      </c>
      <c r="E439" s="15">
        <v>1</v>
      </c>
      <c r="F439" s="16">
        <v>1</v>
      </c>
      <c r="G439" s="17">
        <f>E439 * F439 * 245.4</f>
        <v>245.4</v>
      </c>
      <c r="H439" s="17">
        <f>E439 * F439 * 0</f>
        <v>0</v>
      </c>
      <c r="I439" s="17">
        <f t="shared" si="62"/>
        <v>0</v>
      </c>
      <c r="J439" s="17">
        <f>E439 * F439 * 245.8908</f>
        <v>245.89080000000001</v>
      </c>
      <c r="K439" s="17">
        <f>E439 * F439 * 75.167492</f>
        <v>75.167491999999996</v>
      </c>
      <c r="L439" s="24">
        <f t="shared" si="66"/>
        <v>5.66458292</v>
      </c>
      <c r="M439" s="18">
        <f>SUM(G439:K439)</f>
        <v>566.45829200000003</v>
      </c>
    </row>
    <row r="440" spans="1:13" ht="25.5">
      <c r="A440" s="12">
        <v>437</v>
      </c>
      <c r="B440" s="13" t="s">
        <v>1050</v>
      </c>
      <c r="C440" s="14" t="s">
        <v>1051</v>
      </c>
      <c r="D440" s="14" t="s">
        <v>66</v>
      </c>
      <c r="E440" s="15">
        <v>1</v>
      </c>
      <c r="F440" s="16">
        <v>1</v>
      </c>
      <c r="G440" s="17">
        <f>E440 * F440 * 282.21</f>
        <v>282.20999999999998</v>
      </c>
      <c r="H440" s="17">
        <f>E440 * F440 * 0</f>
        <v>0</v>
      </c>
      <c r="I440" s="17">
        <f t="shared" si="62"/>
        <v>0</v>
      </c>
      <c r="J440" s="17">
        <f>E440 * F440 * 282.774419999999</f>
        <v>282.774419999999</v>
      </c>
      <c r="K440" s="17">
        <f>E440 * F440 * 86.442616</f>
        <v>86.442616000000001</v>
      </c>
      <c r="L440" s="24">
        <f t="shared" si="66"/>
        <v>6.5142703599999905</v>
      </c>
      <c r="M440" s="18">
        <f>SUM(G440:K440)</f>
        <v>651.42703599999902</v>
      </c>
    </row>
    <row r="441" spans="1:13" ht="25.5">
      <c r="A441" s="12">
        <v>438</v>
      </c>
      <c r="B441" s="13" t="s">
        <v>1052</v>
      </c>
      <c r="C441" s="14" t="s">
        <v>1053</v>
      </c>
      <c r="D441" s="14" t="s">
        <v>66</v>
      </c>
      <c r="E441" s="15">
        <v>1</v>
      </c>
      <c r="F441" s="16">
        <v>1</v>
      </c>
      <c r="G441" s="17">
        <f>E441 * F441 * 52.1475</f>
        <v>52.147500000000001</v>
      </c>
      <c r="H441" s="17">
        <f>E441 * F441 * 0.361057</f>
        <v>0.36105700000000002</v>
      </c>
      <c r="I441" s="17">
        <f t="shared" si="62"/>
        <v>0</v>
      </c>
      <c r="J441" s="17">
        <f>E441 * F441 * 52.251795</f>
        <v>52.251795000000001</v>
      </c>
      <c r="K441" s="17">
        <f>E441 * F441 * 16.028334</f>
        <v>16.028334000000001</v>
      </c>
      <c r="L441" s="24">
        <f t="shared" si="66"/>
        <v>1.2078868600000001</v>
      </c>
      <c r="M441" s="18">
        <f>SUM(G441:K441)</f>
        <v>120.78868600000001</v>
      </c>
    </row>
    <row r="442" spans="1:13" ht="25.5">
      <c r="A442" s="12">
        <v>439</v>
      </c>
      <c r="B442" s="13" t="s">
        <v>1054</v>
      </c>
      <c r="C442" s="14" t="s">
        <v>1055</v>
      </c>
      <c r="D442" s="14" t="s">
        <v>1056</v>
      </c>
      <c r="E442" s="15">
        <v>1</v>
      </c>
      <c r="F442" s="16">
        <v>1</v>
      </c>
      <c r="G442" s="17">
        <f>E442 * F442 * 106.9535</f>
        <v>106.95350000000001</v>
      </c>
      <c r="H442" s="17">
        <f>E442 * F442 * 0.454153</f>
        <v>0.45415299999999997</v>
      </c>
      <c r="I442" s="17">
        <f t="shared" si="62"/>
        <v>0</v>
      </c>
      <c r="J442" s="17">
        <f>E442 * F442 * 107.167407</f>
        <v>107.167407</v>
      </c>
      <c r="K442" s="17">
        <f>E442 * F442 * 32.8299839999999</f>
        <v>32.829983999999897</v>
      </c>
      <c r="L442" s="24">
        <f>M442/E442/F442</f>
        <v>247.40504399999992</v>
      </c>
      <c r="M442" s="18">
        <f>SUM(G442:K442)</f>
        <v>247.40504399999992</v>
      </c>
    </row>
    <row r="443" spans="1:13">
      <c r="A443" s="12">
        <v>440</v>
      </c>
      <c r="B443" s="13" t="s">
        <v>1057</v>
      </c>
      <c r="C443" s="14" t="s">
        <v>1058</v>
      </c>
      <c r="D443" s="14" t="s">
        <v>66</v>
      </c>
      <c r="E443" s="15">
        <v>1</v>
      </c>
      <c r="F443" s="16">
        <v>1</v>
      </c>
      <c r="G443" s="17">
        <f>E443 * F443 * 1227</f>
        <v>1227</v>
      </c>
      <c r="H443" s="17">
        <f>E443 * F443 * 0</f>
        <v>0</v>
      </c>
      <c r="I443" s="17">
        <f t="shared" si="62"/>
        <v>0</v>
      </c>
      <c r="J443" s="17">
        <f>E443 * F443 * 1229.454</f>
        <v>1229.454</v>
      </c>
      <c r="K443" s="17">
        <f>E443 * F443 * 375.837461999999</f>
        <v>375.83746199999899</v>
      </c>
      <c r="L443" s="24">
        <f t="shared" si="66"/>
        <v>28.322914619999988</v>
      </c>
      <c r="M443" s="18">
        <f>SUM(G443:K443)</f>
        <v>2832.2914619999988</v>
      </c>
    </row>
    <row r="444" spans="1:13">
      <c r="A444" s="12">
        <v>441</v>
      </c>
      <c r="B444" s="13" t="s">
        <v>1059</v>
      </c>
      <c r="C444" s="14" t="s">
        <v>1060</v>
      </c>
      <c r="D444" s="14" t="s">
        <v>939</v>
      </c>
      <c r="E444" s="15">
        <v>1</v>
      </c>
      <c r="F444" s="16">
        <v>1</v>
      </c>
      <c r="G444" s="17">
        <f>E444 * F444 * 496.935</f>
        <v>496.935</v>
      </c>
      <c r="H444" s="17">
        <f>E444 * F444 * 3.456929</f>
        <v>3.4569290000000001</v>
      </c>
      <c r="I444" s="17">
        <f t="shared" si="62"/>
        <v>0</v>
      </c>
      <c r="J444" s="17">
        <f>E444 * F444 * 497.928869999999</f>
        <v>497.92886999999899</v>
      </c>
      <c r="K444" s="17">
        <f>E444 * F444 * 152.743082</f>
        <v>152.74308199999999</v>
      </c>
      <c r="L444" s="24">
        <f t="shared" si="66"/>
        <v>11.510638809999989</v>
      </c>
      <c r="M444" s="18">
        <f>SUM(G444:K444)</f>
        <v>1151.0638809999989</v>
      </c>
    </row>
    <row r="445" spans="1:13">
      <c r="A445" s="12">
        <v>442</v>
      </c>
      <c r="B445" s="13" t="s">
        <v>1061</v>
      </c>
      <c r="C445" s="14" t="s">
        <v>1062</v>
      </c>
      <c r="D445" s="14" t="s">
        <v>1063</v>
      </c>
      <c r="E445" s="15">
        <v>1</v>
      </c>
      <c r="F445" s="16">
        <v>1</v>
      </c>
      <c r="G445" s="17">
        <f>E445 * F445 * 15951</f>
        <v>15951</v>
      </c>
      <c r="H445" s="17">
        <f>E445 * F445 * 0</f>
        <v>0</v>
      </c>
      <c r="I445" s="17">
        <f t="shared" si="62"/>
        <v>0</v>
      </c>
      <c r="J445" s="17">
        <f>E445 * F445 * 15982.902</f>
        <v>15982.902</v>
      </c>
      <c r="K445" s="17">
        <f>E445 * F445 * 4885.887006</f>
        <v>4885.8870059999999</v>
      </c>
      <c r="L445" s="24">
        <f t="shared" si="66"/>
        <v>368.19789005999996</v>
      </c>
      <c r="M445" s="18">
        <f>SUM(G445:K445)</f>
        <v>36819.789005999999</v>
      </c>
    </row>
    <row r="446" spans="1:13">
      <c r="A446" s="12">
        <v>443</v>
      </c>
      <c r="B446" s="13" t="s">
        <v>1064</v>
      </c>
      <c r="C446" s="14" t="s">
        <v>1065</v>
      </c>
      <c r="D446" s="14" t="s">
        <v>1066</v>
      </c>
      <c r="E446" s="15">
        <v>1</v>
      </c>
      <c r="F446" s="16">
        <v>1</v>
      </c>
      <c r="G446" s="17">
        <f>E446 * F446 * 63.05962</f>
        <v>63.059620000000002</v>
      </c>
      <c r="H446" s="17">
        <f>E446 * F446 * 0</f>
        <v>0</v>
      </c>
      <c r="I446" s="17">
        <f t="shared" si="62"/>
        <v>0</v>
      </c>
      <c r="J446" s="17">
        <f>E446 * F446 * 63.185739</f>
        <v>63.185738999999998</v>
      </c>
      <c r="K446" s="17">
        <f>E446 * F446 * 19.31554</f>
        <v>19.315539999999999</v>
      </c>
      <c r="L446" s="24">
        <f>M446/E446/F446</f>
        <v>145.56089900000001</v>
      </c>
      <c r="M446" s="18">
        <f>SUM(G446:K446)</f>
        <v>145.56089900000001</v>
      </c>
    </row>
    <row r="447" spans="1:13">
      <c r="A447" s="12">
        <v>444</v>
      </c>
      <c r="B447" s="13" t="s">
        <v>1067</v>
      </c>
      <c r="C447" s="14" t="s">
        <v>1068</v>
      </c>
      <c r="D447" s="14" t="s">
        <v>358</v>
      </c>
      <c r="E447" s="15">
        <v>1</v>
      </c>
      <c r="F447" s="16">
        <v>1</v>
      </c>
      <c r="G447" s="17">
        <f>E447 * F447 * 73.221225</f>
        <v>73.221225000000004</v>
      </c>
      <c r="H447" s="17">
        <f>E447 * F447 * 279.651684</f>
        <v>279.65168399999999</v>
      </c>
      <c r="I447" s="17">
        <f t="shared" si="62"/>
        <v>0</v>
      </c>
      <c r="J447" s="17">
        <f>E447 * F447 * 73.367668</f>
        <v>73.367667999999995</v>
      </c>
      <c r="K447" s="17">
        <f>E447 * F447 * 65.214808</f>
        <v>65.214808000000005</v>
      </c>
      <c r="L447" s="24">
        <f t="shared" ref="L447:L450" si="67">M447/E447/F447</f>
        <v>491.45538499999998</v>
      </c>
      <c r="M447" s="18">
        <f>SUM(G447:K447)</f>
        <v>491.45538499999998</v>
      </c>
    </row>
    <row r="448" spans="1:13">
      <c r="A448" s="12">
        <v>445</v>
      </c>
      <c r="B448" s="13" t="s">
        <v>1069</v>
      </c>
      <c r="C448" s="14" t="s">
        <v>1070</v>
      </c>
      <c r="D448" s="14" t="s">
        <v>358</v>
      </c>
      <c r="E448" s="15">
        <v>1</v>
      </c>
      <c r="F448" s="16">
        <v>1</v>
      </c>
      <c r="G448" s="17">
        <f>E448 * F448 * 52.36427</f>
        <v>52.364269999999998</v>
      </c>
      <c r="H448" s="17">
        <f>E448 * F448 * 5.429896</f>
        <v>5.4298960000000003</v>
      </c>
      <c r="I448" s="17">
        <f t="shared" si="62"/>
        <v>0</v>
      </c>
      <c r="J448" s="17">
        <f>E448 * F448 * 52.468999</f>
        <v>52.468998999999997</v>
      </c>
      <c r="K448" s="17">
        <f>E448 * F448 * 16.870264</f>
        <v>16.870263999999999</v>
      </c>
      <c r="L448" s="24">
        <f t="shared" si="67"/>
        <v>127.13342899999998</v>
      </c>
      <c r="M448" s="18">
        <f>SUM(G448:K448)</f>
        <v>127.13342899999998</v>
      </c>
    </row>
    <row r="449" spans="1:13" ht="25.5">
      <c r="A449" s="12">
        <v>446</v>
      </c>
      <c r="B449" s="13" t="s">
        <v>1071</v>
      </c>
      <c r="C449" s="14" t="s">
        <v>1072</v>
      </c>
      <c r="D449" s="14" t="s">
        <v>1073</v>
      </c>
      <c r="E449" s="15">
        <v>1</v>
      </c>
      <c r="F449" s="16">
        <v>1</v>
      </c>
      <c r="G449" s="17">
        <f>E449 * F449 * 43.85069</f>
        <v>43.85069</v>
      </c>
      <c r="H449" s="17">
        <f>E449 * F449 * 101.332238</f>
        <v>101.332238</v>
      </c>
      <c r="I449" s="17">
        <f t="shared" si="62"/>
        <v>0</v>
      </c>
      <c r="J449" s="17">
        <f>E449 * F449 * 43.9383909999999</f>
        <v>43.938390999999903</v>
      </c>
      <c r="K449" s="17">
        <f>E449 * F449 * 28.935562</f>
        <v>28.935562000000001</v>
      </c>
      <c r="L449" s="24">
        <f t="shared" si="67"/>
        <v>218.05688099999992</v>
      </c>
      <c r="M449" s="18">
        <f>SUM(G449:K449)</f>
        <v>218.05688099999992</v>
      </c>
    </row>
    <row r="450" spans="1:13">
      <c r="A450" s="12">
        <v>447</v>
      </c>
      <c r="B450" s="13" t="s">
        <v>1074</v>
      </c>
      <c r="C450" s="14" t="s">
        <v>1075</v>
      </c>
      <c r="D450" s="14" t="s">
        <v>1076</v>
      </c>
      <c r="E450" s="15">
        <v>1</v>
      </c>
      <c r="F450" s="16">
        <v>1</v>
      </c>
      <c r="G450" s="17">
        <f>E450 * F450 * 371.3808</f>
        <v>371.38080000000002</v>
      </c>
      <c r="H450" s="17">
        <f>E450 * F450 * 2955.144</f>
        <v>2955.1439999999998</v>
      </c>
      <c r="I450" s="17">
        <f t="shared" si="62"/>
        <v>0</v>
      </c>
      <c r="J450" s="17">
        <f>E450 * F450 * 372.123562</f>
        <v>372.12356199999999</v>
      </c>
      <c r="K450" s="17">
        <f>E450 * F450 * 565.893199</f>
        <v>565.89319899999998</v>
      </c>
      <c r="L450" s="24">
        <f t="shared" si="67"/>
        <v>4264.541561</v>
      </c>
      <c r="M450" s="18">
        <f>SUM(G450:K450)</f>
        <v>4264.541561</v>
      </c>
    </row>
    <row r="451" spans="1:13">
      <c r="A451" s="12">
        <v>448</v>
      </c>
      <c r="B451" s="13" t="s">
        <v>1077</v>
      </c>
      <c r="C451" s="14" t="s">
        <v>1078</v>
      </c>
      <c r="D451" s="14" t="s">
        <v>98</v>
      </c>
      <c r="E451" s="15">
        <v>1</v>
      </c>
      <c r="F451" s="16">
        <v>1</v>
      </c>
      <c r="G451" s="17">
        <f>E451 * F451 * 23657.699065</f>
        <v>23657.699065000001</v>
      </c>
      <c r="H451" s="17">
        <f>E451 * F451 * 97478.69292</f>
        <v>97478.692920000001</v>
      </c>
      <c r="I451" s="17">
        <f>E451 * F451 * 9923.0623</f>
        <v>9923.0622999999996</v>
      </c>
      <c r="J451" s="17">
        <f>E451 * F451 * 26826.061999</f>
        <v>26826.061999000001</v>
      </c>
      <c r="K451" s="17">
        <f>E451 * F451 * 24156.483991</f>
        <v>24156.483991000001</v>
      </c>
      <c r="L451" s="24">
        <f t="shared" ref="L451" si="68">M451/E451/F451/100</f>
        <v>1820.4200027500001</v>
      </c>
      <c r="M451" s="18">
        <f>SUM(G451:K451)</f>
        <v>182042.000275</v>
      </c>
    </row>
    <row r="452" spans="1:13">
      <c r="A452" s="12">
        <v>449</v>
      </c>
      <c r="B452" s="13" t="s">
        <v>1079</v>
      </c>
      <c r="C452" s="14" t="s">
        <v>1080</v>
      </c>
      <c r="D452" s="14" t="s">
        <v>1081</v>
      </c>
      <c r="E452" s="15">
        <v>1</v>
      </c>
      <c r="F452" s="16">
        <v>1</v>
      </c>
      <c r="G452" s="17">
        <f>E452 * F452 * 2623.64502</f>
        <v>2623.6450199999999</v>
      </c>
      <c r="H452" s="17">
        <f>E452 * F452 * 9151.04388</f>
        <v>9151.0438799999993</v>
      </c>
      <c r="I452" s="17">
        <f>E452 * F452 * 448.0168</f>
        <v>448.01679999999999</v>
      </c>
      <c r="J452" s="17">
        <f>E452 * F452 * 2882.916945</f>
        <v>2882.9169449999999</v>
      </c>
      <c r="K452" s="17">
        <f>E452 * F452 * 2311.160264</f>
        <v>2311.1602640000001</v>
      </c>
      <c r="L452" s="24">
        <f>M452/E452/F452/10</f>
        <v>1741.6782909000001</v>
      </c>
      <c r="M452" s="18">
        <f>SUM(G452:K452)</f>
        <v>17416.782909000001</v>
      </c>
    </row>
    <row r="453" spans="1:13">
      <c r="A453" s="12">
        <v>450</v>
      </c>
      <c r="B453" s="13" t="s">
        <v>1082</v>
      </c>
      <c r="C453" s="14" t="s">
        <v>1083</v>
      </c>
      <c r="D453" s="14" t="s">
        <v>1084</v>
      </c>
      <c r="E453" s="15">
        <v>1</v>
      </c>
      <c r="F453" s="16">
        <v>1</v>
      </c>
      <c r="G453" s="17">
        <f>E453 * F453 * 1786.735314</f>
        <v>1786.735314</v>
      </c>
      <c r="H453" s="17">
        <f>E453 * F453 * 75.13824</f>
        <v>75.138239999999996</v>
      </c>
      <c r="I453" s="17">
        <f>E453 * F453 * 631.7859</f>
        <v>631.78589999999997</v>
      </c>
      <c r="J453" s="17">
        <f>E453 * F453 * 2148.66496699999</f>
        <v>2148.6649669999902</v>
      </c>
      <c r="K453" s="17">
        <f>E453 * F453 * 710.275636</f>
        <v>710.27563599999996</v>
      </c>
      <c r="L453" s="24">
        <f>M453/E453/F453/10</f>
        <v>535.26000569999906</v>
      </c>
      <c r="M453" s="18">
        <f>SUM(G453:K453)</f>
        <v>5352.6000569999906</v>
      </c>
    </row>
    <row r="454" spans="1:13">
      <c r="A454" s="12">
        <v>451</v>
      </c>
      <c r="B454" s="13" t="s">
        <v>1085</v>
      </c>
      <c r="C454" s="14" t="s">
        <v>1086</v>
      </c>
      <c r="D454" s="14" t="s">
        <v>98</v>
      </c>
      <c r="E454" s="15">
        <v>1</v>
      </c>
      <c r="F454" s="16">
        <v>1</v>
      </c>
      <c r="G454" s="17">
        <f>E454 * F454 * 1855.272057</f>
        <v>1855.2720569999999</v>
      </c>
      <c r="H454" s="17">
        <f>E454 * F454 * 456.782304</f>
        <v>456.78230400000001</v>
      </c>
      <c r="I454" s="17">
        <f t="shared" ref="I454:I469" si="69">E454 * F454 * 0</f>
        <v>0</v>
      </c>
      <c r="J454" s="17">
        <f>E454 * F454 * 1858.982601</f>
        <v>1858.9826009999999</v>
      </c>
      <c r="K454" s="17">
        <f>E454 * F454 * 638.168655</f>
        <v>638.16865499999994</v>
      </c>
      <c r="L454" s="24">
        <f t="shared" ref="L454:L455" si="70">M454/E454/F454/100</f>
        <v>48.092056169999999</v>
      </c>
      <c r="M454" s="18">
        <f>SUM(G454:K454)</f>
        <v>4809.2056169999996</v>
      </c>
    </row>
    <row r="455" spans="1:13">
      <c r="A455" s="12">
        <v>452</v>
      </c>
      <c r="B455" s="13" t="s">
        <v>1087</v>
      </c>
      <c r="C455" s="14" t="s">
        <v>1088</v>
      </c>
      <c r="D455" s="14" t="s">
        <v>98</v>
      </c>
      <c r="E455" s="15">
        <v>1</v>
      </c>
      <c r="F455" s="16">
        <v>1</v>
      </c>
      <c r="G455" s="17">
        <f>E455 * F455 * 32279.695</f>
        <v>32279.695</v>
      </c>
      <c r="H455" s="17">
        <f>E455 * F455 * 295514.4</f>
        <v>295514.40000000002</v>
      </c>
      <c r="I455" s="17">
        <f t="shared" si="69"/>
        <v>0</v>
      </c>
      <c r="J455" s="17">
        <f>E455 * F455 * 32344.25439</f>
        <v>32344.254389999998</v>
      </c>
      <c r="K455" s="17">
        <f>E455 * F455 * 55101.167457</f>
        <v>55101.167457000003</v>
      </c>
      <c r="L455" s="24">
        <f t="shared" si="70"/>
        <v>4152.3951684700005</v>
      </c>
      <c r="M455" s="18">
        <f>SUM(G455:K455)</f>
        <v>415239.51684700005</v>
      </c>
    </row>
    <row r="456" spans="1:13">
      <c r="A456" s="12">
        <v>453</v>
      </c>
      <c r="B456" s="13" t="s">
        <v>1089</v>
      </c>
      <c r="C456" s="14" t="s">
        <v>1090</v>
      </c>
      <c r="D456" s="14" t="s">
        <v>962</v>
      </c>
      <c r="E456" s="15">
        <v>1</v>
      </c>
      <c r="F456" s="16">
        <v>1</v>
      </c>
      <c r="G456" s="17">
        <f>E456 * F456 * 805.22284</f>
        <v>805.22284000000002</v>
      </c>
      <c r="H456" s="17">
        <f>E456 * F456 * 11613.36</f>
        <v>11613.36</v>
      </c>
      <c r="I456" s="17">
        <f t="shared" si="69"/>
        <v>0</v>
      </c>
      <c r="J456" s="17">
        <f>E456 * F456 * 806.833286</f>
        <v>806.83328600000004</v>
      </c>
      <c r="K456" s="17">
        <f>E456 * F456 * 2023.488667</f>
        <v>2023.4886670000001</v>
      </c>
      <c r="L456" s="24">
        <f>M456/E456/F456</f>
        <v>15248.904793</v>
      </c>
      <c r="M456" s="18">
        <f>SUM(G456:K456)</f>
        <v>15248.904793</v>
      </c>
    </row>
    <row r="457" spans="1:13">
      <c r="A457" s="12">
        <v>454</v>
      </c>
      <c r="B457" s="13" t="s">
        <v>1091</v>
      </c>
      <c r="C457" s="14" t="s">
        <v>1092</v>
      </c>
      <c r="D457" s="14" t="s">
        <v>962</v>
      </c>
      <c r="E457" s="15">
        <v>1</v>
      </c>
      <c r="F457" s="16">
        <v>1</v>
      </c>
      <c r="G457" s="17">
        <f>E457 * F457 * 805.22284</f>
        <v>805.22284000000002</v>
      </c>
      <c r="H457" s="17">
        <f>E457 * F457 * 13428.84</f>
        <v>13428.84</v>
      </c>
      <c r="I457" s="17">
        <f t="shared" si="69"/>
        <v>0</v>
      </c>
      <c r="J457" s="17">
        <f>E457 * F457 * 806.833286</f>
        <v>806.83328600000004</v>
      </c>
      <c r="K457" s="17">
        <f>E457 * F457 * 2301.257107</f>
        <v>2301.2571069999999</v>
      </c>
      <c r="L457" s="24">
        <f t="shared" ref="L457:L468" si="71">M457/E457/F457</f>
        <v>17342.153233000001</v>
      </c>
      <c r="M457" s="18">
        <f>SUM(G457:K457)</f>
        <v>17342.153233000001</v>
      </c>
    </row>
    <row r="458" spans="1:13">
      <c r="A458" s="12">
        <v>455</v>
      </c>
      <c r="B458" s="13" t="s">
        <v>1093</v>
      </c>
      <c r="C458" s="14" t="s">
        <v>1094</v>
      </c>
      <c r="D458" s="14" t="s">
        <v>962</v>
      </c>
      <c r="E458" s="15">
        <v>1</v>
      </c>
      <c r="F458" s="16">
        <v>1</v>
      </c>
      <c r="G458" s="17">
        <f>E458 * F458 * 805.22284</f>
        <v>805.22284000000002</v>
      </c>
      <c r="H458" s="17">
        <f>E458 * F458 * 24689.1</f>
        <v>24689.1</v>
      </c>
      <c r="I458" s="17">
        <f t="shared" si="69"/>
        <v>0</v>
      </c>
      <c r="J458" s="17">
        <f>E458 * F458 * 806.833286</f>
        <v>806.83328600000004</v>
      </c>
      <c r="K458" s="17">
        <f>E458 * F458 * 4024.076887</f>
        <v>4024.0768870000002</v>
      </c>
      <c r="L458" s="24">
        <f t="shared" si="71"/>
        <v>30325.233012999997</v>
      </c>
      <c r="M458" s="18">
        <f>SUM(G458:K458)</f>
        <v>30325.233012999997</v>
      </c>
    </row>
    <row r="459" spans="1:13">
      <c r="A459" s="12">
        <v>456</v>
      </c>
      <c r="B459" s="13" t="s">
        <v>1095</v>
      </c>
      <c r="C459" s="14" t="s">
        <v>1096</v>
      </c>
      <c r="D459" s="14" t="s">
        <v>969</v>
      </c>
      <c r="E459" s="15">
        <v>1</v>
      </c>
      <c r="F459" s="16">
        <v>1</v>
      </c>
      <c r="G459" s="17">
        <f>E459 * F459 * 1154.47612</f>
        <v>1154.47612</v>
      </c>
      <c r="H459" s="17">
        <f>E459 * F459 * 23252.313354</f>
        <v>23252.313354000002</v>
      </c>
      <c r="I459" s="17">
        <f t="shared" si="69"/>
        <v>0</v>
      </c>
      <c r="J459" s="17">
        <f>E459 * F459 * 1156.785072</f>
        <v>1156.7850719999999</v>
      </c>
      <c r="K459" s="17">
        <f>E459 * F459 * 3911.226906</f>
        <v>3911.2269059999999</v>
      </c>
      <c r="L459" s="24">
        <f t="shared" si="71"/>
        <v>29474.801452</v>
      </c>
      <c r="M459" s="18">
        <f>SUM(G459:K459)</f>
        <v>29474.801452</v>
      </c>
    </row>
    <row r="460" spans="1:13">
      <c r="A460" s="12">
        <v>457</v>
      </c>
      <c r="B460" s="13" t="s">
        <v>1097</v>
      </c>
      <c r="C460" s="14" t="s">
        <v>1098</v>
      </c>
      <c r="D460" s="14" t="s">
        <v>969</v>
      </c>
      <c r="E460" s="15">
        <v>1</v>
      </c>
      <c r="F460" s="16">
        <v>1</v>
      </c>
      <c r="G460" s="17">
        <f>E460 * F460 * 2049.43765</f>
        <v>2049.4376499999998</v>
      </c>
      <c r="H460" s="17">
        <f>E460 * F460 * 37086.461339</f>
        <v>37086.461339000001</v>
      </c>
      <c r="I460" s="17">
        <f t="shared" si="69"/>
        <v>0</v>
      </c>
      <c r="J460" s="17">
        <f>E460 * F460 * 2053.536525</f>
        <v>2053.536525</v>
      </c>
      <c r="K460" s="17">
        <f>E460 * F460 * 6301.983634</f>
        <v>6301.9836340000002</v>
      </c>
      <c r="L460" s="24">
        <f t="shared" si="71"/>
        <v>47491.419148000001</v>
      </c>
      <c r="M460" s="18">
        <f>SUM(G460:K460)</f>
        <v>47491.419148000001</v>
      </c>
    </row>
    <row r="461" spans="1:13">
      <c r="A461" s="12">
        <v>458</v>
      </c>
      <c r="B461" s="13" t="s">
        <v>1099</v>
      </c>
      <c r="C461" s="14" t="s">
        <v>1100</v>
      </c>
      <c r="D461" s="14" t="s">
        <v>974</v>
      </c>
      <c r="E461" s="15">
        <v>1</v>
      </c>
      <c r="F461" s="16">
        <v>1</v>
      </c>
      <c r="G461" s="17">
        <f>E461 * F461 * 2152.728555</f>
        <v>2152.7285550000001</v>
      </c>
      <c r="H461" s="17">
        <f>E461 * F461 * 2846.510017</f>
        <v>2846.5100170000001</v>
      </c>
      <c r="I461" s="17">
        <f t="shared" si="69"/>
        <v>0</v>
      </c>
      <c r="J461" s="17">
        <f>E461 * F461 * 2157.034013</f>
        <v>2157.034013</v>
      </c>
      <c r="K461" s="17">
        <f>E461 * F461 * 1094.909705</f>
        <v>1094.909705</v>
      </c>
      <c r="L461" s="24">
        <f t="shared" si="71"/>
        <v>8251.1822900000006</v>
      </c>
      <c r="M461" s="18">
        <f>SUM(G461:K461)</f>
        <v>8251.1822900000006</v>
      </c>
    </row>
    <row r="462" spans="1:13">
      <c r="A462" s="12">
        <v>459</v>
      </c>
      <c r="B462" s="13" t="s">
        <v>1101</v>
      </c>
      <c r="C462" s="14" t="s">
        <v>1102</v>
      </c>
      <c r="D462" s="14" t="s">
        <v>977</v>
      </c>
      <c r="E462" s="15">
        <v>1</v>
      </c>
      <c r="F462" s="16">
        <v>1</v>
      </c>
      <c r="G462" s="17">
        <f>E462 * F462 * 1714.065319</f>
        <v>1714.065319</v>
      </c>
      <c r="H462" s="17">
        <f>E462 * F462 * 47023.972016</f>
        <v>47023.972016</v>
      </c>
      <c r="I462" s="17">
        <f t="shared" si="69"/>
        <v>0</v>
      </c>
      <c r="J462" s="17">
        <f>E462 * F462 * 1717.493449</f>
        <v>1717.4934490000001</v>
      </c>
      <c r="K462" s="17">
        <f>E462 * F462 * 7719.69621</f>
        <v>7719.6962100000001</v>
      </c>
      <c r="L462" s="24">
        <f t="shared" si="71"/>
        <v>58175.226994000004</v>
      </c>
      <c r="M462" s="18">
        <f>SUM(G462:K462)</f>
        <v>58175.226994000004</v>
      </c>
    </row>
    <row r="463" spans="1:13">
      <c r="A463" s="12">
        <v>460</v>
      </c>
      <c r="B463" s="13" t="s">
        <v>1103</v>
      </c>
      <c r="C463" s="14" t="s">
        <v>1104</v>
      </c>
      <c r="D463" s="14" t="s">
        <v>980</v>
      </c>
      <c r="E463" s="15">
        <v>1</v>
      </c>
      <c r="F463" s="16">
        <v>1</v>
      </c>
      <c r="G463" s="17">
        <f>E463 * F463 * 1142.710213</f>
        <v>1142.7102130000001</v>
      </c>
      <c r="H463" s="17">
        <f>E463 * F463 * 20194.751616</f>
        <v>20194.751616000001</v>
      </c>
      <c r="I463" s="17">
        <f t="shared" si="69"/>
        <v>0</v>
      </c>
      <c r="J463" s="17">
        <f>E463 * F463 * 1144.995633</f>
        <v>1144.995633</v>
      </c>
      <c r="K463" s="17">
        <f>E463 * F463 * 3439.815991</f>
        <v>3439.8159909999999</v>
      </c>
      <c r="L463" s="24">
        <f t="shared" si="71"/>
        <v>25922.273452999998</v>
      </c>
      <c r="M463" s="18">
        <f>SUM(G463:K463)</f>
        <v>25922.273452999998</v>
      </c>
    </row>
    <row r="464" spans="1:13">
      <c r="A464" s="12">
        <v>461</v>
      </c>
      <c r="B464" s="13" t="s">
        <v>1105</v>
      </c>
      <c r="C464" s="14" t="s">
        <v>1106</v>
      </c>
      <c r="D464" s="14" t="s">
        <v>983</v>
      </c>
      <c r="E464" s="15">
        <v>1</v>
      </c>
      <c r="F464" s="16">
        <v>1</v>
      </c>
      <c r="G464" s="17">
        <f>E464 * F464 * 1142.710213</f>
        <v>1142.7102130000001</v>
      </c>
      <c r="H464" s="17">
        <f>E464 * F464 * 45802.619616</f>
        <v>45802.619616000004</v>
      </c>
      <c r="I464" s="17">
        <f t="shared" si="69"/>
        <v>0</v>
      </c>
      <c r="J464" s="17">
        <f>E464 * F464 * 1144.995633</f>
        <v>1144.995633</v>
      </c>
      <c r="K464" s="17">
        <f>E464 * F464 * 7357.819795</f>
        <v>7357.8197950000003</v>
      </c>
      <c r="L464" s="24">
        <f t="shared" si="71"/>
        <v>55448.145257000004</v>
      </c>
      <c r="M464" s="18">
        <f>SUM(G464:K464)</f>
        <v>55448.145257000004</v>
      </c>
    </row>
    <row r="465" spans="1:13" ht="25.5">
      <c r="A465" s="12">
        <v>462</v>
      </c>
      <c r="B465" s="13" t="s">
        <v>1107</v>
      </c>
      <c r="C465" s="14" t="s">
        <v>1108</v>
      </c>
      <c r="D465" s="14" t="s">
        <v>991</v>
      </c>
      <c r="E465" s="15">
        <v>1</v>
      </c>
      <c r="F465" s="16">
        <v>1</v>
      </c>
      <c r="G465" s="17">
        <f>E465 * F465 * 512.99234</f>
        <v>512.99234000000001</v>
      </c>
      <c r="H465" s="17">
        <f>E465 * F465 * 2381.475825</f>
        <v>2381.475825</v>
      </c>
      <c r="I465" s="17">
        <f t="shared" si="69"/>
        <v>0</v>
      </c>
      <c r="J465" s="17">
        <f>E465 * F465 * 514.018325</f>
        <v>514.018325</v>
      </c>
      <c r="K465" s="17">
        <f>E465 * F465 * 521.498433</f>
        <v>521.49843299999998</v>
      </c>
      <c r="L465" s="24">
        <f t="shared" si="71"/>
        <v>3929.984923</v>
      </c>
      <c r="M465" s="18">
        <f>SUM(G465:K465)</f>
        <v>3929.984923</v>
      </c>
    </row>
    <row r="466" spans="1:13">
      <c r="A466" s="12">
        <v>463</v>
      </c>
      <c r="B466" s="13" t="s">
        <v>1109</v>
      </c>
      <c r="C466" s="14" t="s">
        <v>1110</v>
      </c>
      <c r="D466" s="14" t="s">
        <v>991</v>
      </c>
      <c r="E466" s="15">
        <v>1</v>
      </c>
      <c r="F466" s="16">
        <v>1</v>
      </c>
      <c r="G466" s="17">
        <f>E466 * F466 * 590.625448</f>
        <v>590.62544800000001</v>
      </c>
      <c r="H466" s="17">
        <f>E466 * F466 * 402.731061</f>
        <v>402.73106100000001</v>
      </c>
      <c r="I466" s="17">
        <f t="shared" si="69"/>
        <v>0</v>
      </c>
      <c r="J466" s="17">
        <f>E466 * F466 * 591.806699</f>
        <v>591.80669899999998</v>
      </c>
      <c r="K466" s="17">
        <f>E466 * F466 * 242.529971</f>
        <v>242.52997099999999</v>
      </c>
      <c r="L466" s="24">
        <f t="shared" si="71"/>
        <v>1827.6931789999999</v>
      </c>
      <c r="M466" s="18">
        <f>SUM(G466:K466)</f>
        <v>1827.6931789999999</v>
      </c>
    </row>
    <row r="467" spans="1:13">
      <c r="A467" s="12">
        <v>464</v>
      </c>
      <c r="B467" s="13" t="s">
        <v>1111</v>
      </c>
      <c r="C467" s="14" t="s">
        <v>1112</v>
      </c>
      <c r="D467" s="14" t="s">
        <v>1113</v>
      </c>
      <c r="E467" s="15">
        <v>1</v>
      </c>
      <c r="F467" s="16">
        <v>1</v>
      </c>
      <c r="G467" s="17">
        <f>E467 * F467 * 270.23605</f>
        <v>270.23604999999998</v>
      </c>
      <c r="H467" s="17">
        <f>E467 * F467 * 502.66344</f>
        <v>502.66343999999998</v>
      </c>
      <c r="I467" s="17">
        <f t="shared" si="69"/>
        <v>0</v>
      </c>
      <c r="J467" s="17">
        <f>E467 * F467 * 270.776522</f>
        <v>270.776522</v>
      </c>
      <c r="K467" s="17">
        <f>E467 * F467 * 159.682429</f>
        <v>159.68242900000001</v>
      </c>
      <c r="L467" s="24">
        <f t="shared" si="71"/>
        <v>1203.3584409999999</v>
      </c>
      <c r="M467" s="18">
        <f>SUM(G467:K467)</f>
        <v>1203.3584409999999</v>
      </c>
    </row>
    <row r="468" spans="1:13">
      <c r="A468" s="12">
        <v>465</v>
      </c>
      <c r="B468" s="13" t="s">
        <v>1114</v>
      </c>
      <c r="C468" s="14" t="s">
        <v>1115</v>
      </c>
      <c r="D468" s="14" t="s">
        <v>1113</v>
      </c>
      <c r="E468" s="15">
        <v>1</v>
      </c>
      <c r="F468" s="16">
        <v>1</v>
      </c>
      <c r="G468" s="17">
        <f>E468 * F468 * 447.1663</f>
        <v>447.16629999999998</v>
      </c>
      <c r="H468" s="17">
        <f>E468 * F468 * 490.86744</f>
        <v>490.86743999999999</v>
      </c>
      <c r="I468" s="17">
        <f t="shared" si="69"/>
        <v>0</v>
      </c>
      <c r="J468" s="17">
        <f>E468 * F468 * 448.060633</f>
        <v>448.060633</v>
      </c>
      <c r="K468" s="17">
        <f>E468 * F468 * 212.072439</f>
        <v>212.072439</v>
      </c>
      <c r="L468" s="24">
        <f t="shared" si="71"/>
        <v>1598.1668119999999</v>
      </c>
      <c r="M468" s="18">
        <f>SUM(G468:K468)</f>
        <v>1598.1668119999999</v>
      </c>
    </row>
    <row r="469" spans="1:13" ht="26.25" thickBot="1">
      <c r="A469" s="12">
        <v>466</v>
      </c>
      <c r="B469" s="13" t="s">
        <v>1116</v>
      </c>
      <c r="C469" s="14" t="s">
        <v>1117</v>
      </c>
      <c r="D469" s="14" t="s">
        <v>1118</v>
      </c>
      <c r="E469" s="15">
        <v>1</v>
      </c>
      <c r="F469" s="16">
        <v>1</v>
      </c>
      <c r="G469" s="17">
        <f>E469 * F469 * 2910.444</f>
        <v>2910.444</v>
      </c>
      <c r="H469" s="17">
        <f>E469 * F469 * 22583.83584</f>
        <v>22583.83584</v>
      </c>
      <c r="I469" s="17">
        <f t="shared" si="69"/>
        <v>0</v>
      </c>
      <c r="J469" s="17">
        <f>E469 * F469 * 2916.26488799999</f>
        <v>2916.2648879999902</v>
      </c>
      <c r="K469" s="17">
        <f>E469 * F469 * 4346.813343</f>
        <v>4346.8133429999998</v>
      </c>
      <c r="L469" s="24">
        <f t="shared" ref="L469" si="72">M469/E469/F469/100</f>
        <v>327.57358070999987</v>
      </c>
      <c r="M469" s="18">
        <f>SUM(G469:K469)</f>
        <v>32757.358070999988</v>
      </c>
    </row>
    <row r="470" spans="1:13" s="19" customFormat="1" ht="20.100000000000001" customHeight="1" thickTop="1" thickBot="1">
      <c r="A470" s="22" t="s">
        <v>1119</v>
      </c>
      <c r="B470" s="22"/>
      <c r="C470" s="22"/>
      <c r="D470" s="22"/>
      <c r="E470" s="22"/>
      <c r="F470" s="22"/>
      <c r="G470" s="20">
        <f t="shared" ref="G470:M470" si="73">SUM(G4:G469)</f>
        <v>10518040.954985002</v>
      </c>
      <c r="H470" s="20">
        <f t="shared" si="73"/>
        <v>25407578.278145973</v>
      </c>
      <c r="I470" s="20">
        <f t="shared" si="73"/>
        <v>642625.00483999983</v>
      </c>
      <c r="J470" s="20">
        <f t="shared" si="73"/>
        <v>10705760.163607992</v>
      </c>
      <c r="K470" s="20">
        <f t="shared" si="73"/>
        <v>7232922.6738749957</v>
      </c>
      <c r="L470" s="25"/>
      <c r="M470" s="21">
        <f t="shared" si="73"/>
        <v>54506927.075453982</v>
      </c>
    </row>
    <row r="471" spans="1:13" ht="16.5" thickTop="1"/>
    <row r="472" spans="1:13" ht="47.25">
      <c r="C472" s="26" t="s">
        <v>1121</v>
      </c>
    </row>
  </sheetData>
  <mergeCells count="2">
    <mergeCell ref="A470:F470"/>
    <mergeCell ref="A1:M1"/>
  </mergeCells>
  <pageMargins left="0" right="0" top="0.15748031496062992" bottom="0.15748031496062992" header="0.31496062992125984" footer="0.31496062992125984"/>
  <pageSetup paperSize="9" scale="72" fitToHeight="0" orientation="portrait" horizontalDpi="4294967295" verticalDpi="4294967295" r:id="rId1"/>
  <headerFooter>
    <oddHeader>&amp;C&amp;KCCCCCC&amp;"Arial"Стоимость работ и услуг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Стоимость работ и услуг</dc:title>
  <dc:subject/>
  <dc:creator/>
  <cp:keywords/>
  <dc:description/>
  <cp:lastModifiedBy/>
  <cp:lastPrinted>2025-03-14T06:47:11Z</cp:lastPrinted>
  <dcterms:created xsi:type="dcterms:W3CDTF">2025-03-14T06:47:11Z</dcterms:created>
  <dcterms:modified xsi:type="dcterms:W3CDTF">2025-03-14T07:37:51Z</dcterms:modified>
  <cp:category/>
</cp:coreProperties>
</file>